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Register" sheetId="3" state="visible" r:id="rId3"/>
    <sheet xmlns:r="http://schemas.openxmlformats.org/officeDocument/2006/relationships" name="Meter Log" sheetId="4" state="visible" r:id="rId4"/>
    <sheet xmlns:r="http://schemas.openxmlformats.org/officeDocument/2006/relationships" name="Analysis" sheetId="5" state="visible" r:id="rId5"/>
  </sheets>
  <definedNames>
    <definedName name="_xlnm.Print_Area" localSheetId="1">'Dashboard'!$A$1:$P$40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$#,##0.00"/>
    <numFmt numFmtId="166" formatCode="$#,##0"/>
    <numFmt numFmtId="167" formatCode="yyyy-mm"/>
    <numFmt numFmtId="168" formatCode="0.0%"/>
  </numFmts>
  <fonts count="19">
    <font>
      <name val="Calibri"/>
      <family val="2"/>
      <color theme="1"/>
      <sz val="11"/>
      <scheme val="minor"/>
    </font>
    <font>
      <name val="Arial"/>
      <b val="1"/>
      <color rgb="00E8EDF2"/>
      <sz val="14"/>
    </font>
    <font>
      <name val="Arial"/>
      <color rgb="00000000"/>
      <sz val="10"/>
    </font>
    <font>
      <name val="Arial"/>
      <i val="1"/>
      <color rgb="006B8BA4"/>
      <sz val="10"/>
    </font>
    <font>
      <name val="Arial"/>
      <b val="1"/>
      <color rgb="000A1628"/>
      <sz val="10"/>
    </font>
    <font>
      <name val="Arial"/>
      <b val="1"/>
      <color rgb="00E8EDF2"/>
      <sz val="13"/>
    </font>
    <font>
      <name val="Arial"/>
      <b val="1"/>
      <color rgb="00E8EDF2"/>
      <sz val="9"/>
    </font>
    <font>
      <name val="Arial"/>
      <i val="1"/>
      <color rgb="007F7F7F"/>
      <sz val="9"/>
    </font>
    <font>
      <name val="Arial"/>
      <sz val="9"/>
    </font>
    <font>
      <name val="Arial"/>
      <b val="1"/>
      <sz val="9"/>
    </font>
    <font>
      <name val="Arial"/>
      <b val="1"/>
      <color rgb="00E8EDF2"/>
      <sz val="15"/>
    </font>
    <font>
      <name val="Arial"/>
      <b val="1"/>
      <sz val="10"/>
    </font>
    <font>
      <name val="Arial"/>
      <i val="1"/>
      <color rgb="006B8BA4"/>
      <sz val="9"/>
    </font>
    <font>
      <name val="Arial"/>
      <color rgb="006B8BA4"/>
      <sz val="9"/>
    </font>
    <font>
      <name val="Arial"/>
      <b val="1"/>
      <color rgb="000A1628"/>
      <sz val="16"/>
    </font>
    <font>
      <name val="Arial"/>
      <b val="1"/>
      <color rgb="000A1628"/>
      <sz val="11"/>
    </font>
    <font>
      <name val="Arial"/>
      <sz val="10"/>
    </font>
    <font>
      <name val="Arial"/>
      <b val="1"/>
      <color rgb="00C0392B"/>
      <sz val="12"/>
    </font>
    <font>
      <name val="Arial"/>
      <b val="1"/>
      <color rgb="00C0392B"/>
      <sz val="11"/>
    </font>
  </fonts>
  <fills count="5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FFF2CC"/>
      </patternFill>
    </fill>
    <fill>
      <patternFill patternType="solid">
        <fgColor rgb="00E8EDF2"/>
      </patternFill>
    </fill>
  </fills>
  <borders count="2">
    <border>
      <left/>
      <right/>
      <top/>
      <bottom/>
      <diagonal/>
    </border>
    <border>
      <left style="thin">
        <color rgb="00B8C4CE"/>
      </left>
      <right style="thin">
        <color rgb="00B8C4CE"/>
      </right>
      <top style="thin">
        <color rgb="00B8C4CE"/>
      </top>
      <bottom style="thin">
        <color rgb="00B8C4CE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0" fillId="2" borderId="0" pivotButton="0" quotePrefix="0" xfId="0"/>
    <xf numFmtId="0" fontId="11" fillId="0" borderId="0" pivotButton="0" quotePrefix="0" xfId="0"/>
    <xf numFmtId="167" fontId="11" fillId="3" borderId="1" pivotButton="0" quotePrefix="0" xfId="0"/>
    <xf numFmtId="0" fontId="12" fillId="0" borderId="0" pivotButton="0" quotePrefix="0" xfId="0"/>
    <xf numFmtId="0" fontId="13" fillId="0" borderId="0" applyAlignment="1" pivotButton="0" quotePrefix="0" xfId="0">
      <alignment wrapText="1"/>
    </xf>
    <xf numFmtId="166" fontId="14" fillId="0" borderId="0" pivotButton="0" quotePrefix="0" xfId="0"/>
    <xf numFmtId="168" fontId="14" fillId="0" borderId="0" pivotButton="0" quotePrefix="0" xfId="0"/>
    <xf numFmtId="1" fontId="14" fillId="0" borderId="0" pivotButton="0" quotePrefix="0" xfId="0"/>
    <xf numFmtId="0" fontId="15" fillId="0" borderId="0" pivotButton="0" quotePrefix="0" xfId="0"/>
    <xf numFmtId="0" fontId="16" fillId="0" borderId="0" pivotButton="0" quotePrefix="0" xfId="0"/>
    <xf numFmtId="166" fontId="17" fillId="0" borderId="0" pivotButton="0" quotePrefix="0" xfId="0"/>
    <xf numFmtId="0" fontId="13" fillId="0" borderId="0" pivotButton="0" quotePrefix="0" xfId="0"/>
    <xf numFmtId="166" fontId="18" fillId="0" borderId="0" pivotButton="0" quotePrefix="0" xfId="0"/>
    <xf numFmtId="0" fontId="6" fillId="2" borderId="1" pivotButton="0" quotePrefix="0" xfId="0"/>
    <xf numFmtId="0" fontId="8" fillId="0" borderId="1" pivotButton="0" quotePrefix="0" xfId="0"/>
    <xf numFmtId="166" fontId="8" fillId="0" borderId="1" pivotButton="0" quotePrefix="0" xfId="0"/>
    <xf numFmtId="168" fontId="8" fillId="0" borderId="1" pivotButton="0" quotePrefix="0" xfId="0"/>
    <xf numFmtId="167" fontId="8" fillId="0" borderId="1" pivotButton="0" quotePrefix="0" xfId="0"/>
    <xf numFmtId="166" fontId="0" fillId="0" borderId="1" pivotButton="0" quotePrefix="0" xfId="0"/>
    <xf numFmtId="0" fontId="5" fillId="2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3" borderId="1" pivotButton="0" quotePrefix="0" xfId="0"/>
    <xf numFmtId="165" fontId="7" fillId="3" borderId="1" pivotButton="0" quotePrefix="0" xfId="0"/>
    <xf numFmtId="166" fontId="7" fillId="3" borderId="1" pivotButton="0" quotePrefix="0" xfId="0"/>
    <xf numFmtId="164" fontId="7" fillId="3" borderId="1" pivotButton="0" quotePrefix="0" xfId="0"/>
    <xf numFmtId="0" fontId="8" fillId="3" borderId="1" pivotButton="0" quotePrefix="0" xfId="0"/>
    <xf numFmtId="165" fontId="8" fillId="3" borderId="1" pivotButton="0" quotePrefix="0" xfId="0"/>
    <xf numFmtId="166" fontId="8" fillId="3" borderId="1" pivotButton="0" quotePrefix="0" xfId="0"/>
    <xf numFmtId="164" fontId="8" fillId="3" borderId="1" pivotButton="0" quotePrefix="0" xfId="0"/>
    <xf numFmtId="167" fontId="7" fillId="3" borderId="1" pivotButton="0" quotePrefix="0" xfId="0"/>
    <xf numFmtId="167" fontId="8" fillId="3" borderId="1" pivotButton="0" quotePrefix="0" xfId="0"/>
    <xf numFmtId="165" fontId="8" fillId="0" borderId="1" pivotButton="0" quotePrefix="0" xfId="0"/>
    <xf numFmtId="0" fontId="9" fillId="0" borderId="0" pivotButton="0" quotePrefix="0" xfId="0"/>
    <xf numFmtId="166" fontId="9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consumption spend by month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'Dashboard'!M16</f>
            </strRef>
          </tx>
          <spPr>
            <a:ln xmlns:a="http://schemas.openxmlformats.org/drawingml/2006/main" w="28000">
              <a:solidFill>
                <a:srgbClr val="4CB8D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'Dashboard'!$L$17:$L$22</f>
            </numRef>
          </cat>
          <val>
            <numRef>
              <f>'Dashboard'!$M$17:$M$22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$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spend by governance rating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'Dashboard'!P16</f>
            </strRef>
          </tx>
          <spPr>
            <a:solidFill xmlns:a="http://schemas.openxmlformats.org/drawingml/2006/main">
              <a:srgbClr val="F07A1A"/>
            </a:solidFill>
            <a:ln xmlns:a="http://schemas.openxmlformats.org/drawingml/2006/main">
              <a:prstDash val="solid"/>
            </a:ln>
          </spPr>
          <cat>
            <numRef>
              <f>'Dashboard'!$O$17:$O$19</f>
            </numRef>
          </cat>
          <val>
            <numRef>
              <f>'Dashboard'!$P$17:$P$19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4680000" cy="2592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24</row>
      <rowOff>0</rowOff>
    </from>
    <ext cx="3960000" cy="2592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2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 ht="30" customHeight="1">
      <c r="A1" s="1" t="inlineStr">
        <is>
          <t>OPERATIONAL ITAM  —  CONSUMPTION GOVERNANCE WORKBOOK</t>
        </is>
      </c>
    </row>
    <row r="2">
      <c r="A2" s="2" t="inlineStr"/>
    </row>
    <row r="3">
      <c r="A3" s="3" t="inlineStr">
        <is>
          <t>Companion asset to “You Approved a Price. You’re Paying a Meter.”  ·  www.operationalitam.com</t>
        </is>
      </c>
    </row>
    <row r="4">
      <c r="A4" s="2" t="inlineStr"/>
    </row>
    <row r="5">
      <c r="A5" s="4" t="inlineStr">
        <is>
          <t>WHAT THIS PRODUCES</t>
        </is>
      </c>
    </row>
    <row r="6">
      <c r="A6" s="2" t="inlineStr">
        <is>
          <t>A one-page executive readout of your consumption-priced software estate: total run rate, growth, commitment burn-down with projected overage, invoice-versus-contract variance in dollars, and a governance score for every meter. Practitioners maintain two input sheets; the Dashboard writes itself.</t>
        </is>
      </c>
    </row>
    <row r="7">
      <c r="A7" s="2" t="inlineStr"/>
    </row>
    <row r="8">
      <c r="A8" s="4" t="inlineStr">
        <is>
          <t>THE THREE EXPOSURE LINES — REPORTED SEPARATELY, NEVER AGGREGATED</t>
        </is>
      </c>
    </row>
    <row r="9">
      <c r="A9" s="2" t="inlineStr">
        <is>
          <t>1.  Billing variance: what the effective unit rate on the invoice exceeds the contracted rate by, in dollars. This line is recoverable or negotiable.</t>
        </is>
      </c>
    </row>
    <row r="10">
      <c r="A10" s="2" t="inlineStr">
        <is>
          <t>2.  Projected commitment overage: where the current run rate lands the year against the committed amount. This line is forecastable and fundable.</t>
        </is>
      </c>
    </row>
    <row r="11">
      <c r="A11" s="2" t="inlineStr">
        <is>
          <t>3.  Ungoverned spend: monthly dollars flowing through agreements whose contractual controls score 2 or below. This line is exposure, not savings.</t>
        </is>
      </c>
    </row>
    <row r="12">
      <c r="A12" s="2" t="inlineStr">
        <is>
          <t>These are three different numbers with three different owners. Adding them together produces a figure no finance partner will sign, so this workbook never does.</t>
        </is>
      </c>
    </row>
    <row r="13">
      <c r="A13" s="2" t="inlineStr"/>
    </row>
    <row r="14">
      <c r="A14" s="4" t="inlineStr">
        <is>
          <t>HOW TO USE</t>
        </is>
      </c>
    </row>
    <row r="15">
      <c r="A15" s="2" t="inlineStr">
        <is>
          <t>1.  REGISTER — one row per agreement with a consumption-priced component. Contract facts come from the executed agreement or order form, never the vendor portal. Answer the six control questions with Y or N.</t>
        </is>
      </c>
    </row>
    <row r="16">
      <c r="A16" s="2" t="inlineStr">
        <is>
          <t>2.  METER LOG — one row per agreement per month: usage units and billed spend, straight from the invoice.</t>
        </is>
      </c>
    </row>
    <row r="17">
      <c r="A17" s="2" t="inlineStr">
        <is>
          <t>3.  DASHBOARD — set the reporting month in the yellow cell. Everything else calculates.</t>
        </is>
      </c>
    </row>
    <row r="18">
      <c r="A18" s="2" t="inlineStr">
        <is>
          <t>4.  The workbook ships with SAMPLE DATA (grey italic) so you can see the finished product. Clear both input sheets and load your own estate.</t>
        </is>
      </c>
    </row>
    <row r="19">
      <c r="A19" s="2" t="inlineStr"/>
    </row>
    <row r="20">
      <c r="A20" s="4" t="inlineStr">
        <is>
          <t>COLOR LEGEND</t>
        </is>
      </c>
    </row>
    <row r="21">
      <c r="A21" s="2" t="inlineStr">
        <is>
          <t>Yellow cells = your inputs.   White cells = calculated, do not type over them.   Grey italic = sample data to be replaced.</t>
        </is>
      </c>
    </row>
    <row r="22">
      <c r="A22" s="2" t="inlineStr"/>
    </row>
    <row r="23">
      <c r="A23" s="4" t="inlineStr">
        <is>
          <t>METHOD NOTES AND ASSUMPTIONS</t>
        </is>
      </c>
    </row>
    <row r="24">
      <c r="A24" s="2" t="inlineStr">
        <is>
          <t>•  Effective unit rate = billed spend ÷ usage for the reporting month. Variance $ = (effective − contracted) × usage; positive means you were billed above contract.</t>
        </is>
      </c>
    </row>
    <row r="25">
      <c r="A25" s="2" t="inlineStr">
        <is>
          <t>•  Projected annual spend = actual spend year-to-date + the reporting month’s spend held flat for each remaining month. Deliberately conservative: if your meters are growing, reality will be worse than this projection.</t>
        </is>
      </c>
    </row>
    <row r="26">
      <c r="A26" s="2" t="inlineStr">
        <is>
          <t>•  Governance score = count of Y across the six controls: cap in contract, written rate card, overage at committed rate, usage export rights, notice before rate changes, named owner. 5–6 Governed · 3–4 Partial · 0–2 Ungoverned.</t>
        </is>
      </c>
    </row>
    <row r="27">
      <c r="A27" s="2" t="inlineStr">
        <is>
          <t>•  A blank you cannot fill from your own paper is a finding: it is a number the vendor knows about your spend that you do not.</t>
        </is>
      </c>
    </row>
    <row r="28">
      <c r="A28" s="2" t="inlineStr"/>
    </row>
    <row r="29">
      <c r="A29" s="4" t="inlineStr">
        <is>
          <t>FOUR TERMS WORTH NEGOTIATING INTO EVERY CONSUMPTION AGREEMENT</t>
        </is>
      </c>
    </row>
    <row r="30">
      <c r="A30" s="2" t="inlineStr">
        <is>
          <t>A written rate card with notice before changes  ·  overage at your committed rate, not list  ·  a cap or circuit breaker  ·  exportable usage data granular enough to reconcile the invoice independently.</t>
        </is>
      </c>
    </row>
    <row r="31">
      <c r="A31" s="2" t="inlineStr"/>
    </row>
    <row r="32">
      <c r="A32" s="3" t="inlineStr">
        <is>
          <t>Operational ITAM  ·  Optimize Technology. Maximize Value.</t>
        </is>
      </c>
    </row>
  </sheetData>
  <mergeCells count="1">
    <mergeCell ref="A1:B1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P22"/>
  <sheetViews>
    <sheetView workbookViewId="0">
      <selection activeCell="A1" sqref="A1"/>
    </sheetView>
  </sheetViews>
  <sheetFormatPr baseColWidth="8" defaultRowHeight="15"/>
  <cols>
    <col width="26" customWidth="1" min="1" max="1"/>
    <col width="4" customWidth="1" min="2" max="2"/>
    <col width="18" customWidth="1" min="3" max="3"/>
    <col width="14" customWidth="1" min="4" max="4"/>
    <col width="13" customWidth="1" min="5" max="5"/>
    <col width="11" customWidth="1" min="6" max="6"/>
    <col width="13" customWidth="1" min="7" max="7"/>
    <col width="34" customWidth="1" min="8" max="8"/>
    <col width="15" customWidth="1" min="9" max="9"/>
    <col width="4" customWidth="1" min="10" max="10"/>
    <col width="4" customWidth="1" min="11" max="11"/>
    <col width="10" customWidth="1" min="12" max="12"/>
    <col width="13" customWidth="1" min="13" max="13"/>
    <col width="3" customWidth="1" min="14" max="14"/>
    <col width="12" customWidth="1" min="15" max="15"/>
    <col width="13" customWidth="1" min="16" max="16"/>
  </cols>
  <sheetData>
    <row r="1" ht="32" customHeight="1">
      <c r="A1" s="5" t="inlineStr">
        <is>
          <t>CONSUMPTION SPEND — EXECUTIVE DASHBOARD</t>
        </is>
      </c>
    </row>
    <row r="3">
      <c r="A3" s="6" t="inlineStr">
        <is>
          <t>Reporting month:</t>
        </is>
      </c>
      <c r="C3" s="7" t="n">
        <v>46235</v>
      </c>
      <c r="D3" s="8" t="inlineStr">
        <is>
          <t>(yellow = the one input on this page)</t>
        </is>
      </c>
    </row>
    <row r="5">
      <c r="A5" s="9" t="inlineStr">
        <is>
          <t>Monthly consumption spend</t>
        </is>
      </c>
      <c r="C5" s="9" t="inlineStr">
        <is>
          <t>Annualized run rate</t>
        </is>
      </c>
      <c r="E5" s="9" t="inlineStr">
        <is>
          <t>Month-over-month growth</t>
        </is>
      </c>
      <c r="G5" s="9" t="inlineStr">
        <is>
          <t>Active meters</t>
        </is>
      </c>
      <c r="I5" s="9" t="inlineStr">
        <is>
          <t>Ungoverned meters</t>
        </is>
      </c>
    </row>
    <row r="6" ht="24" customHeight="1">
      <c r="A6" s="10">
        <f>Analysis!$D$24</f>
        <v/>
      </c>
      <c r="C6" s="10">
        <f>Analysis!$D$24*12</f>
        <v/>
      </c>
      <c r="E6" s="11">
        <f>IFERROR(Analysis!$D$24/Analysis!$I$24-1,"")</f>
        <v/>
      </c>
      <c r="G6" s="12">
        <f>COUNTA(Register!$A$4:$A$23)</f>
        <v/>
      </c>
      <c r="I6" s="12">
        <f>COUNTIF(Analysis!$P$4:$P$23,"Ungoverned")</f>
        <v/>
      </c>
    </row>
    <row r="9">
      <c r="A9" s="13" t="inlineStr">
        <is>
          <t>THE THREE EXPOSURE LINES  —  reported separately, never aggregated</t>
        </is>
      </c>
    </row>
    <row r="10">
      <c r="A10" s="14" t="inlineStr">
        <is>
          <t>1  Billing variance vs contract (reporting month)</t>
        </is>
      </c>
      <c r="E10" s="15">
        <f>SUMPRODUCT((Analysis!$H$4:$H$23&gt;0)*Analysis!$H$4:$H$23)</f>
        <v/>
      </c>
      <c r="F10" s="16" t="inlineStr">
        <is>
          <t>Annualized:</t>
        </is>
      </c>
      <c r="G10" s="17">
        <f>SUMPRODUCT((Analysis!$H$4:$H$23&gt;0)*Analysis!$H$4:$H$23)*12</f>
        <v/>
      </c>
      <c r="H10" s="8" t="inlineStr">
        <is>
          <t>Recoverable or negotiable. Owner: vendor management.</t>
        </is>
      </c>
    </row>
    <row r="11">
      <c r="A11" s="14" t="inlineStr">
        <is>
          <t>2  Projected commitment overage (full year)</t>
        </is>
      </c>
      <c r="E11" s="15">
        <f>Analysis!$O$24</f>
        <v/>
      </c>
      <c r="H11" s="8" t="inlineStr">
        <is>
          <t>Forecastable and fundable. Owner: the meter’s named owner.</t>
        </is>
      </c>
    </row>
    <row r="12">
      <c r="A12" s="14" t="inlineStr">
        <is>
          <t>3  Ungoverned monthly spend (score ≤ 2)</t>
        </is>
      </c>
      <c r="E12" s="15">
        <f>SUMIF(Analysis!$P$4:$P$23,"Ungoverned",Analysis!$D$4:$D$23)</f>
        <v/>
      </c>
      <c r="H12" s="8" t="inlineStr">
        <is>
          <t>Exposure, not savings. Owner: asset management + FinOps, one page.</t>
        </is>
      </c>
    </row>
    <row r="15">
      <c r="A15" s="13" t="inlineStr">
        <is>
          <t>TOP METERS BY MONTHLY SPEND</t>
        </is>
      </c>
    </row>
    <row r="16">
      <c r="A16" s="18" t="inlineStr">
        <is>
          <t>Rank</t>
        </is>
      </c>
      <c r="B16" s="18" t="inlineStr">
        <is>
          <t>ID</t>
        </is>
      </c>
      <c r="C16" s="18" t="inlineStr">
        <is>
          <t>Vendor</t>
        </is>
      </c>
      <c r="D16" s="18" t="inlineStr">
        <is>
          <t>Monthly Spend ($)</t>
        </is>
      </c>
      <c r="E16" s="18" t="inlineStr">
        <is>
          <t>MoM Growth</t>
        </is>
      </c>
      <c r="F16" s="18" t="inlineStr">
        <is>
          <t>Rating</t>
        </is>
      </c>
      <c r="L16" s="18" t="inlineStr">
        <is>
          <t>Month</t>
        </is>
      </c>
      <c r="M16" s="18" t="inlineStr">
        <is>
          <t>Total Spend ($)</t>
        </is>
      </c>
      <c r="O16" s="18" t="inlineStr">
        <is>
          <t>Rating</t>
        </is>
      </c>
      <c r="P16" s="18" t="inlineStr">
        <is>
          <t>Monthly Spend ($)</t>
        </is>
      </c>
    </row>
    <row r="17">
      <c r="A17" s="19" t="n">
        <v>1</v>
      </c>
      <c r="B17" s="19">
        <f>IFERROR(INDEX(Analysis!$A$4:$A$23,MATCH($D17,Analysis!$D$4:$D$23,0)),"")</f>
        <v/>
      </c>
      <c r="C17" s="19">
        <f>IFERROR(INDEX(Analysis!$B$4:$B$23,MATCH($D17,Analysis!$D$4:$D$23,0)),"")</f>
        <v/>
      </c>
      <c r="D17" s="20">
        <f>IFERROR(LARGE(Analysis!$D$4:$D$23,1),"")</f>
        <v/>
      </c>
      <c r="E17" s="21">
        <f>IFERROR(INDEX(Analysis!$J$4:$J$23,MATCH($D17,Analysis!$D$4:$D$23,0)),"")</f>
        <v/>
      </c>
      <c r="F17" s="19">
        <f>IFERROR(INDEX(Analysis!$P$4:$P$23,MATCH($D17,Analysis!$D$4:$D$23,0)),"")</f>
        <v/>
      </c>
      <c r="L17" s="22">
        <f>EDATE($C$3,-5)</f>
        <v/>
      </c>
      <c r="M17" s="20">
        <f>SUMIFS('Meter Log'!$D$4:$D$131,'Meter Log'!$A$4:$A$131,$L17)</f>
        <v/>
      </c>
      <c r="O17" s="19" t="inlineStr">
        <is>
          <t>Governed</t>
        </is>
      </c>
      <c r="P17" s="23">
        <f>SUMIF(Analysis!$P$4:$P$23,$O17,Analysis!$D$4:$D$23)</f>
        <v/>
      </c>
    </row>
    <row r="18">
      <c r="A18" s="19" t="n">
        <v>2</v>
      </c>
      <c r="B18" s="19">
        <f>IFERROR(INDEX(Analysis!$A$4:$A$23,MATCH($D18,Analysis!$D$4:$D$23,0)),"")</f>
        <v/>
      </c>
      <c r="C18" s="19">
        <f>IFERROR(INDEX(Analysis!$B$4:$B$23,MATCH($D18,Analysis!$D$4:$D$23,0)),"")</f>
        <v/>
      </c>
      <c r="D18" s="20">
        <f>IFERROR(LARGE(Analysis!$D$4:$D$23,2),"")</f>
        <v/>
      </c>
      <c r="E18" s="21">
        <f>IFERROR(INDEX(Analysis!$J$4:$J$23,MATCH($D18,Analysis!$D$4:$D$23,0)),"")</f>
        <v/>
      </c>
      <c r="F18" s="19">
        <f>IFERROR(INDEX(Analysis!$P$4:$P$23,MATCH($D18,Analysis!$D$4:$D$23,0)),"")</f>
        <v/>
      </c>
      <c r="L18" s="22">
        <f>EDATE($C$3,-4)</f>
        <v/>
      </c>
      <c r="M18" s="20">
        <f>SUMIFS('Meter Log'!$D$4:$D$131,'Meter Log'!$A$4:$A$131,$L18)</f>
        <v/>
      </c>
      <c r="O18" s="19" t="inlineStr">
        <is>
          <t>Partial</t>
        </is>
      </c>
      <c r="P18" s="23">
        <f>SUMIF(Analysis!$P$4:$P$23,$O18,Analysis!$D$4:$D$23)</f>
        <v/>
      </c>
    </row>
    <row r="19">
      <c r="A19" s="19" t="n">
        <v>3</v>
      </c>
      <c r="B19" s="19">
        <f>IFERROR(INDEX(Analysis!$A$4:$A$23,MATCH($D19,Analysis!$D$4:$D$23,0)),"")</f>
        <v/>
      </c>
      <c r="C19" s="19">
        <f>IFERROR(INDEX(Analysis!$B$4:$B$23,MATCH($D19,Analysis!$D$4:$D$23,0)),"")</f>
        <v/>
      </c>
      <c r="D19" s="20">
        <f>IFERROR(LARGE(Analysis!$D$4:$D$23,3),"")</f>
        <v/>
      </c>
      <c r="E19" s="21">
        <f>IFERROR(INDEX(Analysis!$J$4:$J$23,MATCH($D19,Analysis!$D$4:$D$23,0)),"")</f>
        <v/>
      </c>
      <c r="F19" s="19">
        <f>IFERROR(INDEX(Analysis!$P$4:$P$23,MATCH($D19,Analysis!$D$4:$D$23,0)),"")</f>
        <v/>
      </c>
      <c r="L19" s="22">
        <f>EDATE($C$3,-3)</f>
        <v/>
      </c>
      <c r="M19" s="20">
        <f>SUMIFS('Meter Log'!$D$4:$D$131,'Meter Log'!$A$4:$A$131,$L19)</f>
        <v/>
      </c>
      <c r="O19" s="19" t="inlineStr">
        <is>
          <t>Ungoverned</t>
        </is>
      </c>
      <c r="P19" s="23">
        <f>SUMIF(Analysis!$P$4:$P$23,$O19,Analysis!$D$4:$D$23)</f>
        <v/>
      </c>
    </row>
    <row r="20">
      <c r="A20" s="19" t="n">
        <v>4</v>
      </c>
      <c r="B20" s="19">
        <f>IFERROR(INDEX(Analysis!$A$4:$A$23,MATCH($D20,Analysis!$D$4:$D$23,0)),"")</f>
        <v/>
      </c>
      <c r="C20" s="19">
        <f>IFERROR(INDEX(Analysis!$B$4:$B$23,MATCH($D20,Analysis!$D$4:$D$23,0)),"")</f>
        <v/>
      </c>
      <c r="D20" s="20">
        <f>IFERROR(LARGE(Analysis!$D$4:$D$23,4),"")</f>
        <v/>
      </c>
      <c r="E20" s="21">
        <f>IFERROR(INDEX(Analysis!$J$4:$J$23,MATCH($D20,Analysis!$D$4:$D$23,0)),"")</f>
        <v/>
      </c>
      <c r="F20" s="19">
        <f>IFERROR(INDEX(Analysis!$P$4:$P$23,MATCH($D20,Analysis!$D$4:$D$23,0)),"")</f>
        <v/>
      </c>
      <c r="L20" s="22">
        <f>EDATE($C$3,-2)</f>
        <v/>
      </c>
      <c r="M20" s="20">
        <f>SUMIFS('Meter Log'!$D$4:$D$131,'Meter Log'!$A$4:$A$131,$L20)</f>
        <v/>
      </c>
    </row>
    <row r="21">
      <c r="A21" s="19" t="n">
        <v>5</v>
      </c>
      <c r="B21" s="19">
        <f>IFERROR(INDEX(Analysis!$A$4:$A$23,MATCH($D21,Analysis!$D$4:$D$23,0)),"")</f>
        <v/>
      </c>
      <c r="C21" s="19">
        <f>IFERROR(INDEX(Analysis!$B$4:$B$23,MATCH($D21,Analysis!$D$4:$D$23,0)),"")</f>
        <v/>
      </c>
      <c r="D21" s="20">
        <f>IFERROR(LARGE(Analysis!$D$4:$D$23,5),"")</f>
        <v/>
      </c>
      <c r="E21" s="21">
        <f>IFERROR(INDEX(Analysis!$J$4:$J$23,MATCH($D21,Analysis!$D$4:$D$23,0)),"")</f>
        <v/>
      </c>
      <c r="F21" s="19">
        <f>IFERROR(INDEX(Analysis!$P$4:$P$23,MATCH($D21,Analysis!$D$4:$D$23,0)),"")</f>
        <v/>
      </c>
      <c r="L21" s="22">
        <f>EDATE($C$3,-1)</f>
        <v/>
      </c>
      <c r="M21" s="20">
        <f>SUMIFS('Meter Log'!$D$4:$D$131,'Meter Log'!$A$4:$A$131,$L21)</f>
        <v/>
      </c>
    </row>
    <row r="22">
      <c r="L22" s="22">
        <f>EDATE($C$3,0)</f>
        <v/>
      </c>
      <c r="M22" s="20">
        <f>SUMIFS('Meter Log'!$D$4:$D$131,'Meter Log'!$A$4:$A$131,$L22)</f>
        <v/>
      </c>
    </row>
  </sheetData>
  <mergeCells count="1">
    <mergeCell ref="A1:J1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6" customWidth="1" min="2" max="2"/>
    <col width="30" customWidth="1" min="3" max="3"/>
    <col width="15" customWidth="1" min="4" max="4"/>
    <col width="18" customWidth="1" min="5" max="5"/>
    <col width="12" customWidth="1" min="6" max="6"/>
    <col width="11" customWidth="1" min="7" max="7"/>
    <col width="13" customWidth="1" min="8" max="8"/>
    <col width="10" customWidth="1" min="9" max="9"/>
    <col width="11" customWidth="1" min="10" max="10"/>
    <col width="12" customWidth="1" min="11" max="11"/>
    <col width="11" customWidth="1" min="12" max="12"/>
    <col width="12" customWidth="1" min="13" max="13"/>
    <col width="17" customWidth="1" min="14" max="14"/>
    <col width="12" customWidth="1" min="15" max="15"/>
    <col width="12" customWidth="1" min="16" max="16"/>
    <col width="11" customWidth="1" min="17" max="17"/>
    <col width="12" customWidth="1" min="18" max="18"/>
    <col width="30" customWidth="1" min="19" max="19"/>
  </cols>
  <sheetData>
    <row r="1" ht="26" customHeight="1">
      <c r="A1" s="24" t="inlineStr">
        <is>
          <t>REGISTER  —  one row per consumption-priced agreement (yellow = your inputs)</t>
        </is>
      </c>
    </row>
    <row r="3" ht="44" customHeight="1">
      <c r="A3" s="25" t="inlineStr">
        <is>
          <t>ID</t>
        </is>
      </c>
      <c r="B3" s="25" t="inlineStr">
        <is>
          <t>Vendor</t>
        </is>
      </c>
      <c r="C3" s="25" t="inlineStr">
        <is>
          <t>Product / Service</t>
        </is>
      </c>
      <c r="D3" s="25" t="inlineStr">
        <is>
          <t>Category</t>
        </is>
      </c>
      <c r="E3" s="25" t="inlineStr">
        <is>
          <t>Meter (Unit of Measure)</t>
        </is>
      </c>
      <c r="F3" s="25" t="inlineStr">
        <is>
          <t>Contracted Unit Rate ($)</t>
        </is>
      </c>
      <c r="G3" s="25" t="inlineStr">
        <is>
          <t>Overage Rate ($)</t>
        </is>
      </c>
      <c r="H3" s="25" t="inlineStr">
        <is>
          <t>Annual Commitment ($)</t>
        </is>
      </c>
      <c r="I3" s="25" t="inlineStr">
        <is>
          <t>Cap in Contract (Y/N)</t>
        </is>
      </c>
      <c r="J3" s="25" t="inlineStr">
        <is>
          <t>Written Rate Card (Y/N)</t>
        </is>
      </c>
      <c r="K3" s="25" t="inlineStr">
        <is>
          <t>Overage at Committed Rate (Y/N)</t>
        </is>
      </c>
      <c r="L3" s="25" t="inlineStr">
        <is>
          <t>Usage Export Rights (Y/N)</t>
        </is>
      </c>
      <c r="M3" s="25" t="inlineStr">
        <is>
          <t>Notice Before Rate Change (Y/N)</t>
        </is>
      </c>
      <c r="N3" s="25" t="inlineStr">
        <is>
          <t>Named Owner</t>
        </is>
      </c>
      <c r="O3" s="25" t="inlineStr">
        <is>
          <t>Renewal Date</t>
        </is>
      </c>
      <c r="P3" s="25" t="inlineStr">
        <is>
          <t>Notice Deadline</t>
        </is>
      </c>
      <c r="Q3" s="25" t="inlineStr">
        <is>
          <t>Governance Score (0–6)</t>
        </is>
      </c>
      <c r="R3" s="25" t="inlineStr">
        <is>
          <t>Rating</t>
        </is>
      </c>
      <c r="S3" s="25" t="inlineStr">
        <is>
          <t>Notes</t>
        </is>
      </c>
    </row>
    <row r="4">
      <c r="A4" s="26" t="inlineStr">
        <is>
          <t>M-01</t>
        </is>
      </c>
      <c r="B4" s="26" t="inlineStr">
        <is>
          <t>OpenAI</t>
        </is>
      </c>
      <c r="C4" s="26" t="inlineStr">
        <is>
          <t>LLM API — customer support agents</t>
        </is>
      </c>
      <c r="D4" s="26" t="inlineStr">
        <is>
          <t>AI API</t>
        </is>
      </c>
      <c r="E4" s="26" t="inlineStr">
        <is>
          <t>1M tokens (blended)</t>
        </is>
      </c>
      <c r="F4" s="27" t="n">
        <v>5</v>
      </c>
      <c r="G4" s="27" t="n">
        <v>5</v>
      </c>
      <c r="H4" s="28" t="n">
        <v>180000</v>
      </c>
      <c r="I4" s="26" t="inlineStr">
        <is>
          <t>N</t>
        </is>
      </c>
      <c r="J4" s="26" t="inlineStr">
        <is>
          <t>Y</t>
        </is>
      </c>
      <c r="K4" s="26" t="inlineStr">
        <is>
          <t>Y</t>
        </is>
      </c>
      <c r="L4" s="26" t="inlineStr">
        <is>
          <t>Y</t>
        </is>
      </c>
      <c r="M4" s="26" t="inlineStr">
        <is>
          <t>N</t>
        </is>
      </c>
      <c r="N4" s="26" t="inlineStr">
        <is>
          <t>A. Rivera, Platform</t>
        </is>
      </c>
      <c r="O4" s="29" t="n">
        <v>46418</v>
      </c>
      <c r="P4" s="29" t="n">
        <v>46326</v>
      </c>
      <c r="Q4" s="19">
        <f>IF($A4="","",COUNTIF($I4:$M4,"Y")+IF($N4&lt;&gt;"",1,0))</f>
        <v/>
      </c>
      <c r="R4" s="19">
        <f>IF($A4="","",IF($Q4&gt;=5,"Governed",IF($Q4&gt;=3,"Partial","Ungoverned")))</f>
        <v/>
      </c>
      <c r="S4" s="26" t="inlineStr">
        <is>
          <t>Growing ~15%/mo</t>
        </is>
      </c>
    </row>
    <row r="5">
      <c r="A5" s="26" t="inlineStr">
        <is>
          <t>M-02</t>
        </is>
      </c>
      <c r="B5" s="26" t="inlineStr">
        <is>
          <t>Anthropic</t>
        </is>
      </c>
      <c r="C5" s="26" t="inlineStr">
        <is>
          <t>LLM API — engineering copilots</t>
        </is>
      </c>
      <c r="D5" s="26" t="inlineStr">
        <is>
          <t>AI API</t>
        </is>
      </c>
      <c r="E5" s="26" t="inlineStr">
        <is>
          <t>1M tokens (blended)</t>
        </is>
      </c>
      <c r="F5" s="27" t="n">
        <v>6</v>
      </c>
      <c r="G5" s="27" t="n">
        <v>6</v>
      </c>
      <c r="H5" s="28" t="n">
        <v>120000</v>
      </c>
      <c r="I5" s="26" t="inlineStr">
        <is>
          <t>N</t>
        </is>
      </c>
      <c r="J5" s="26" t="inlineStr">
        <is>
          <t>Y</t>
        </is>
      </c>
      <c r="K5" s="26" t="inlineStr">
        <is>
          <t>Y</t>
        </is>
      </c>
      <c r="L5" s="26" t="inlineStr">
        <is>
          <t>Y</t>
        </is>
      </c>
      <c r="M5" s="26" t="inlineStr">
        <is>
          <t>Y</t>
        </is>
      </c>
      <c r="N5" s="26" t="inlineStr">
        <is>
          <t>D. Okafor, Eng Tools</t>
        </is>
      </c>
      <c r="O5" s="29" t="n">
        <v>46477</v>
      </c>
      <c r="P5" s="29" t="n">
        <v>46387</v>
      </c>
      <c r="Q5" s="19">
        <f>IF($A5="","",COUNTIF($I5:$M5,"Y")+IF($N5&lt;&gt;"",1,0))</f>
        <v/>
      </c>
      <c r="R5" s="19">
        <f>IF($A5="","",IF($Q5&gt;=5,"Governed",IF($Q5&gt;=3,"Partial","Ungoverned")))</f>
        <v/>
      </c>
      <c r="S5" s="26" t="n"/>
    </row>
    <row r="6">
      <c r="A6" s="26" t="inlineStr">
        <is>
          <t>M-03</t>
        </is>
      </c>
      <c r="B6" s="26" t="inlineStr">
        <is>
          <t>Salesforce</t>
        </is>
      </c>
      <c r="C6" s="26" t="inlineStr">
        <is>
          <t>Agentforce — conversation add-on</t>
        </is>
      </c>
      <c r="D6" s="26" t="inlineStr">
        <is>
          <t>SaaS AI add-on</t>
        </is>
      </c>
      <c r="E6" s="26" t="inlineStr">
        <is>
          <t>conversations</t>
        </is>
      </c>
      <c r="F6" s="27" t="n">
        <v>2</v>
      </c>
      <c r="G6" s="27" t="n">
        <v>2.6</v>
      </c>
      <c r="H6" s="28" t="n">
        <v>0</v>
      </c>
      <c r="I6" s="26" t="inlineStr">
        <is>
          <t>N</t>
        </is>
      </c>
      <c r="J6" s="26" t="inlineStr">
        <is>
          <t>Y</t>
        </is>
      </c>
      <c r="K6" s="26" t="inlineStr">
        <is>
          <t>N</t>
        </is>
      </c>
      <c r="L6" s="26" t="inlineStr">
        <is>
          <t>N</t>
        </is>
      </c>
      <c r="M6" s="26" t="inlineStr">
        <is>
          <t>N</t>
        </is>
      </c>
      <c r="N6" s="26" t="inlineStr">
        <is>
          <t>T. Chen, CRM</t>
        </is>
      </c>
      <c r="O6" s="29" t="n">
        <v>46356</v>
      </c>
      <c r="P6" s="29" t="n">
        <v>46295</v>
      </c>
      <c r="Q6" s="19">
        <f>IF($A6="","",COUNTIF($I6:$M6,"Y")+IF($N6&lt;&gt;"",1,0))</f>
        <v/>
      </c>
      <c r="R6" s="19">
        <f>IF($A6="","",IF($Q6&gt;=5,"Governed",IF($Q6&gt;=3,"Partial","Ungoverned")))</f>
        <v/>
      </c>
      <c r="S6" s="26" t="inlineStr">
        <is>
          <t>Billed rate does not match order form</t>
        </is>
      </c>
    </row>
    <row r="7">
      <c r="A7" s="26" t="inlineStr">
        <is>
          <t>M-04</t>
        </is>
      </c>
      <c r="B7" s="26" t="inlineStr">
        <is>
          <t>Microsoft</t>
        </is>
      </c>
      <c r="C7" s="26" t="inlineStr">
        <is>
          <t>Copilot Studio — message packs</t>
        </is>
      </c>
      <c r="D7" s="26" t="inlineStr">
        <is>
          <t>SaaS AI add-on</t>
        </is>
      </c>
      <c r="E7" s="26" t="inlineStr">
        <is>
          <t>1K messages</t>
        </is>
      </c>
      <c r="F7" s="27" t="n">
        <v>10</v>
      </c>
      <c r="G7" s="27" t="n">
        <v>10</v>
      </c>
      <c r="H7" s="28" t="n">
        <v>0</v>
      </c>
      <c r="I7" s="26" t="inlineStr">
        <is>
          <t>N</t>
        </is>
      </c>
      <c r="J7" s="26" t="inlineStr">
        <is>
          <t>Y</t>
        </is>
      </c>
      <c r="K7" s="26" t="inlineStr">
        <is>
          <t>Y</t>
        </is>
      </c>
      <c r="L7" s="26" t="inlineStr">
        <is>
          <t>N</t>
        </is>
      </c>
      <c r="M7" s="26" t="inlineStr">
        <is>
          <t>N</t>
        </is>
      </c>
      <c r="N7" s="26" t="inlineStr">
        <is>
          <t>S. Patel, Workplace</t>
        </is>
      </c>
      <c r="O7" s="29" t="n">
        <v>46568</v>
      </c>
      <c r="P7" s="29" t="n">
        <v>46477</v>
      </c>
      <c r="Q7" s="19">
        <f>IF($A7="","",COUNTIF($I7:$M7,"Y")+IF($N7&lt;&gt;"",1,0))</f>
        <v/>
      </c>
      <c r="R7" s="19">
        <f>IF($A7="","",IF($Q7&gt;=5,"Governed",IF($Q7&gt;=3,"Partial","Ungoverned")))</f>
        <v/>
      </c>
      <c r="S7" s="26" t="n"/>
    </row>
    <row r="8">
      <c r="A8" s="26" t="inlineStr">
        <is>
          <t>M-05</t>
        </is>
      </c>
      <c r="B8" s="26" t="inlineStr">
        <is>
          <t>AWS</t>
        </is>
      </c>
      <c r="C8" s="26" t="inlineStr">
        <is>
          <t>Bedrock — inference commitment</t>
        </is>
      </c>
      <c r="D8" s="26" t="inlineStr">
        <is>
          <t>Cloud commitment</t>
        </is>
      </c>
      <c r="E8" s="26" t="inlineStr">
        <is>
          <t>1M tokens (blended)</t>
        </is>
      </c>
      <c r="F8" s="27" t="n">
        <v>4.2</v>
      </c>
      <c r="G8" s="27" t="n">
        <v>4.2</v>
      </c>
      <c r="H8" s="28" t="n">
        <v>240000</v>
      </c>
      <c r="I8" s="26" t="inlineStr">
        <is>
          <t>N</t>
        </is>
      </c>
      <c r="J8" s="26" t="inlineStr">
        <is>
          <t>Y</t>
        </is>
      </c>
      <c r="K8" s="26" t="inlineStr">
        <is>
          <t>Y</t>
        </is>
      </c>
      <c r="L8" s="26" t="inlineStr">
        <is>
          <t>Y</t>
        </is>
      </c>
      <c r="M8" s="26" t="inlineStr">
        <is>
          <t>Y</t>
        </is>
      </c>
      <c r="N8" s="26" t="inlineStr">
        <is>
          <t>FinOps team</t>
        </is>
      </c>
      <c r="O8" s="29" t="n">
        <v>46387</v>
      </c>
      <c r="P8" s="29" t="n">
        <v>46296</v>
      </c>
      <c r="Q8" s="19">
        <f>IF($A8="","",COUNTIF($I8:$M8,"Y")+IF($N8&lt;&gt;"",1,0))</f>
        <v/>
      </c>
      <c r="R8" s="19">
        <f>IF($A8="","",IF($Q8&gt;=5,"Governed",IF($Q8&gt;=3,"Partial","Ungoverned")))</f>
        <v/>
      </c>
      <c r="S8" s="26" t="inlineStr">
        <is>
          <t>Commit tracking hot</t>
        </is>
      </c>
    </row>
    <row r="9">
      <c r="A9" s="26" t="inlineStr">
        <is>
          <t>M-06</t>
        </is>
      </c>
      <c r="B9" s="26" t="inlineStr">
        <is>
          <t>Datadog</t>
        </is>
      </c>
      <c r="C9" s="26" t="inlineStr">
        <is>
          <t>LLM Observability add-on</t>
        </is>
      </c>
      <c r="D9" s="26" t="inlineStr">
        <is>
          <t>SaaS AI add-on</t>
        </is>
      </c>
      <c r="E9" s="26" t="inlineStr">
        <is>
          <t>1M spans</t>
        </is>
      </c>
      <c r="F9" s="27" t="n">
        <v>1.7</v>
      </c>
      <c r="G9" s="27" t="n">
        <v>1.7</v>
      </c>
      <c r="H9" s="28" t="n">
        <v>0</v>
      </c>
      <c r="I9" s="26" t="inlineStr">
        <is>
          <t>N</t>
        </is>
      </c>
      <c r="J9" s="26" t="inlineStr">
        <is>
          <t>Y</t>
        </is>
      </c>
      <c r="K9" s="26" t="inlineStr">
        <is>
          <t>N</t>
        </is>
      </c>
      <c r="L9" s="26" t="inlineStr">
        <is>
          <t>Y</t>
        </is>
      </c>
      <c r="M9" s="26" t="inlineStr">
        <is>
          <t>N</t>
        </is>
      </c>
      <c r="N9" s="26" t="inlineStr">
        <is>
          <t>Obs. guild</t>
        </is>
      </c>
      <c r="O9" s="29" t="n">
        <v>46446</v>
      </c>
      <c r="P9" s="29" t="n">
        <v>46354</v>
      </c>
      <c r="Q9" s="19">
        <f>IF($A9="","",COUNTIF($I9:$M9,"Y")+IF($N9&lt;&gt;"",1,0))</f>
        <v/>
      </c>
      <c r="R9" s="19">
        <f>IF($A9="","",IF($Q9&gt;=5,"Governed",IF($Q9&gt;=3,"Partial","Ungoverned")))</f>
        <v/>
      </c>
      <c r="S9" s="26" t="n"/>
    </row>
    <row r="10">
      <c r="A10" s="26" t="inlineStr">
        <is>
          <t>M-07</t>
        </is>
      </c>
      <c r="B10" s="26" t="inlineStr">
        <is>
          <t>ElevenLabs</t>
        </is>
      </c>
      <c r="C10" s="26" t="inlineStr">
        <is>
          <t>Text-to-speech API</t>
        </is>
      </c>
      <c r="D10" s="26" t="inlineStr">
        <is>
          <t>AI API</t>
        </is>
      </c>
      <c r="E10" s="26" t="inlineStr">
        <is>
          <t>1M characters</t>
        </is>
      </c>
      <c r="F10" s="27" t="n">
        <v>11</v>
      </c>
      <c r="G10" s="27" t="n">
        <v>11</v>
      </c>
      <c r="H10" s="28" t="n">
        <v>0</v>
      </c>
      <c r="I10" s="26" t="inlineStr">
        <is>
          <t>N</t>
        </is>
      </c>
      <c r="J10" s="26" t="inlineStr">
        <is>
          <t>Y</t>
        </is>
      </c>
      <c r="K10" s="26" t="inlineStr">
        <is>
          <t>Y</t>
        </is>
      </c>
      <c r="L10" s="26" t="inlineStr">
        <is>
          <t>Y</t>
        </is>
      </c>
      <c r="M10" s="26" t="inlineStr">
        <is>
          <t>N</t>
        </is>
      </c>
      <c r="N10" s="26" t="inlineStr">
        <is>
          <t>Media team</t>
        </is>
      </c>
      <c r="O10" s="29" t="n">
        <v>46538</v>
      </c>
      <c r="P10" s="29" t="n">
        <v>46446</v>
      </c>
      <c r="Q10" s="19">
        <f>IF($A10="","",COUNTIF($I10:$M10,"Y")+IF($N10&lt;&gt;"",1,0))</f>
        <v/>
      </c>
      <c r="R10" s="19">
        <f>IF($A10="","",IF($Q10&gt;=5,"Governed",IF($Q10&gt;=3,"Partial","Ungoverned")))</f>
        <v/>
      </c>
      <c r="S10" s="26" t="n"/>
    </row>
    <row r="11">
      <c r="A11" s="26" t="inlineStr">
        <is>
          <t>M-08</t>
        </is>
      </c>
      <c r="B11" s="26" t="inlineStr">
        <is>
          <t>Unknown — expense card</t>
        </is>
      </c>
      <c r="C11" s="26" t="inlineStr">
        <is>
          <t>AI video tool (shadow purchase)</t>
        </is>
      </c>
      <c r="D11" s="26" t="inlineStr">
        <is>
          <t>Other metered</t>
        </is>
      </c>
      <c r="E11" s="26" t="n"/>
      <c r="F11" s="27" t="n"/>
      <c r="G11" s="27" t="n"/>
      <c r="H11" s="28" t="n"/>
      <c r="I11" s="26" t="n"/>
      <c r="J11" s="26" t="n"/>
      <c r="K11" s="26" t="n"/>
      <c r="L11" s="26" t="n"/>
      <c r="M11" s="26" t="n"/>
      <c r="N11" s="26" t="n"/>
      <c r="O11" s="29" t="n"/>
      <c r="P11" s="29" t="n"/>
      <c r="Q11" s="19">
        <f>IF($A11="","",COUNTIF($I11:$M11,"Y")+IF($N11&lt;&gt;"",1,0))</f>
        <v/>
      </c>
      <c r="R11" s="19">
        <f>IF($A11="","",IF($Q11&gt;=5,"Governed",IF($Q11&gt;=3,"Partial","Ungoverned")))</f>
        <v/>
      </c>
      <c r="S11" s="26" t="inlineStr">
        <is>
          <t>No contract on file — the blanks are the finding</t>
        </is>
      </c>
    </row>
    <row r="12">
      <c r="A12" s="30" t="n"/>
      <c r="B12" s="30" t="n"/>
      <c r="C12" s="30" t="n"/>
      <c r="D12" s="30" t="n"/>
      <c r="E12" s="30" t="n"/>
      <c r="F12" s="31" t="n"/>
      <c r="G12" s="31" t="n"/>
      <c r="H12" s="32" t="n"/>
      <c r="I12" s="30" t="n"/>
      <c r="J12" s="30" t="n"/>
      <c r="K12" s="30" t="n"/>
      <c r="L12" s="30" t="n"/>
      <c r="M12" s="30" t="n"/>
      <c r="N12" s="30" t="n"/>
      <c r="O12" s="33" t="n"/>
      <c r="P12" s="33" t="n"/>
      <c r="Q12" s="19">
        <f>IF($A12="","",COUNTIF($I12:$M12,"Y")+IF($N12&lt;&gt;"",1,0))</f>
        <v/>
      </c>
      <c r="R12" s="19">
        <f>IF($A12="","",IF($Q12&gt;=5,"Governed",IF($Q12&gt;=3,"Partial","Ungoverned")))</f>
        <v/>
      </c>
      <c r="S12" s="30" t="n"/>
    </row>
    <row r="13">
      <c r="A13" s="30" t="n"/>
      <c r="B13" s="30" t="n"/>
      <c r="C13" s="30" t="n"/>
      <c r="D13" s="30" t="n"/>
      <c r="E13" s="30" t="n"/>
      <c r="F13" s="31" t="n"/>
      <c r="G13" s="31" t="n"/>
      <c r="H13" s="32" t="n"/>
      <c r="I13" s="30" t="n"/>
      <c r="J13" s="30" t="n"/>
      <c r="K13" s="30" t="n"/>
      <c r="L13" s="30" t="n"/>
      <c r="M13" s="30" t="n"/>
      <c r="N13" s="30" t="n"/>
      <c r="O13" s="33" t="n"/>
      <c r="P13" s="33" t="n"/>
      <c r="Q13" s="19">
        <f>IF($A13="","",COUNTIF($I13:$M13,"Y")+IF($N13&lt;&gt;"",1,0))</f>
        <v/>
      </c>
      <c r="R13" s="19">
        <f>IF($A13="","",IF($Q13&gt;=5,"Governed",IF($Q13&gt;=3,"Partial","Ungoverned")))</f>
        <v/>
      </c>
      <c r="S13" s="30" t="n"/>
    </row>
    <row r="14">
      <c r="A14" s="30" t="n"/>
      <c r="B14" s="30" t="n"/>
      <c r="C14" s="30" t="n"/>
      <c r="D14" s="30" t="n"/>
      <c r="E14" s="30" t="n"/>
      <c r="F14" s="31" t="n"/>
      <c r="G14" s="31" t="n"/>
      <c r="H14" s="32" t="n"/>
      <c r="I14" s="30" t="n"/>
      <c r="J14" s="30" t="n"/>
      <c r="K14" s="30" t="n"/>
      <c r="L14" s="30" t="n"/>
      <c r="M14" s="30" t="n"/>
      <c r="N14" s="30" t="n"/>
      <c r="O14" s="33" t="n"/>
      <c r="P14" s="33" t="n"/>
      <c r="Q14" s="19">
        <f>IF($A14="","",COUNTIF($I14:$M14,"Y")+IF($N14&lt;&gt;"",1,0))</f>
        <v/>
      </c>
      <c r="R14" s="19">
        <f>IF($A14="","",IF($Q14&gt;=5,"Governed",IF($Q14&gt;=3,"Partial","Ungoverned")))</f>
        <v/>
      </c>
      <c r="S14" s="30" t="n"/>
    </row>
    <row r="15">
      <c r="A15" s="30" t="n"/>
      <c r="B15" s="30" t="n"/>
      <c r="C15" s="30" t="n"/>
      <c r="D15" s="30" t="n"/>
      <c r="E15" s="30" t="n"/>
      <c r="F15" s="31" t="n"/>
      <c r="G15" s="31" t="n"/>
      <c r="H15" s="32" t="n"/>
      <c r="I15" s="30" t="n"/>
      <c r="J15" s="30" t="n"/>
      <c r="K15" s="30" t="n"/>
      <c r="L15" s="30" t="n"/>
      <c r="M15" s="30" t="n"/>
      <c r="N15" s="30" t="n"/>
      <c r="O15" s="33" t="n"/>
      <c r="P15" s="33" t="n"/>
      <c r="Q15" s="19">
        <f>IF($A15="","",COUNTIF($I15:$M15,"Y")+IF($N15&lt;&gt;"",1,0))</f>
        <v/>
      </c>
      <c r="R15" s="19">
        <f>IF($A15="","",IF($Q15&gt;=5,"Governed",IF($Q15&gt;=3,"Partial","Ungoverned")))</f>
        <v/>
      </c>
      <c r="S15" s="30" t="n"/>
    </row>
    <row r="16">
      <c r="A16" s="30" t="n"/>
      <c r="B16" s="30" t="n"/>
      <c r="C16" s="30" t="n"/>
      <c r="D16" s="30" t="n"/>
      <c r="E16" s="30" t="n"/>
      <c r="F16" s="31" t="n"/>
      <c r="G16" s="31" t="n"/>
      <c r="H16" s="32" t="n"/>
      <c r="I16" s="30" t="n"/>
      <c r="J16" s="30" t="n"/>
      <c r="K16" s="30" t="n"/>
      <c r="L16" s="30" t="n"/>
      <c r="M16" s="30" t="n"/>
      <c r="N16" s="30" t="n"/>
      <c r="O16" s="33" t="n"/>
      <c r="P16" s="33" t="n"/>
      <c r="Q16" s="19">
        <f>IF($A16="","",COUNTIF($I16:$M16,"Y")+IF($N16&lt;&gt;"",1,0))</f>
        <v/>
      </c>
      <c r="R16" s="19">
        <f>IF($A16="","",IF($Q16&gt;=5,"Governed",IF($Q16&gt;=3,"Partial","Ungoverned")))</f>
        <v/>
      </c>
      <c r="S16" s="30" t="n"/>
    </row>
    <row r="17">
      <c r="A17" s="30" t="n"/>
      <c r="B17" s="30" t="n"/>
      <c r="C17" s="30" t="n"/>
      <c r="D17" s="30" t="n"/>
      <c r="E17" s="30" t="n"/>
      <c r="F17" s="31" t="n"/>
      <c r="G17" s="31" t="n"/>
      <c r="H17" s="32" t="n"/>
      <c r="I17" s="30" t="n"/>
      <c r="J17" s="30" t="n"/>
      <c r="K17" s="30" t="n"/>
      <c r="L17" s="30" t="n"/>
      <c r="M17" s="30" t="n"/>
      <c r="N17" s="30" t="n"/>
      <c r="O17" s="33" t="n"/>
      <c r="P17" s="33" t="n"/>
      <c r="Q17" s="19">
        <f>IF($A17="","",COUNTIF($I17:$M17,"Y")+IF($N17&lt;&gt;"",1,0))</f>
        <v/>
      </c>
      <c r="R17" s="19">
        <f>IF($A17="","",IF($Q17&gt;=5,"Governed",IF($Q17&gt;=3,"Partial","Ungoverned")))</f>
        <v/>
      </c>
      <c r="S17" s="30" t="n"/>
    </row>
    <row r="18">
      <c r="A18" s="30" t="n"/>
      <c r="B18" s="30" t="n"/>
      <c r="C18" s="30" t="n"/>
      <c r="D18" s="30" t="n"/>
      <c r="E18" s="30" t="n"/>
      <c r="F18" s="31" t="n"/>
      <c r="G18" s="31" t="n"/>
      <c r="H18" s="32" t="n"/>
      <c r="I18" s="30" t="n"/>
      <c r="J18" s="30" t="n"/>
      <c r="K18" s="30" t="n"/>
      <c r="L18" s="30" t="n"/>
      <c r="M18" s="30" t="n"/>
      <c r="N18" s="30" t="n"/>
      <c r="O18" s="33" t="n"/>
      <c r="P18" s="33" t="n"/>
      <c r="Q18" s="19">
        <f>IF($A18="","",COUNTIF($I18:$M18,"Y")+IF($N18&lt;&gt;"",1,0))</f>
        <v/>
      </c>
      <c r="R18" s="19">
        <f>IF($A18="","",IF($Q18&gt;=5,"Governed",IF($Q18&gt;=3,"Partial","Ungoverned")))</f>
        <v/>
      </c>
      <c r="S18" s="30" t="n"/>
    </row>
    <row r="19">
      <c r="A19" s="30" t="n"/>
      <c r="B19" s="30" t="n"/>
      <c r="C19" s="30" t="n"/>
      <c r="D19" s="30" t="n"/>
      <c r="E19" s="30" t="n"/>
      <c r="F19" s="31" t="n"/>
      <c r="G19" s="31" t="n"/>
      <c r="H19" s="32" t="n"/>
      <c r="I19" s="30" t="n"/>
      <c r="J19" s="30" t="n"/>
      <c r="K19" s="30" t="n"/>
      <c r="L19" s="30" t="n"/>
      <c r="M19" s="30" t="n"/>
      <c r="N19" s="30" t="n"/>
      <c r="O19" s="33" t="n"/>
      <c r="P19" s="33" t="n"/>
      <c r="Q19" s="19">
        <f>IF($A19="","",COUNTIF($I19:$M19,"Y")+IF($N19&lt;&gt;"",1,0))</f>
        <v/>
      </c>
      <c r="R19" s="19">
        <f>IF($A19="","",IF($Q19&gt;=5,"Governed",IF($Q19&gt;=3,"Partial","Ungoverned")))</f>
        <v/>
      </c>
      <c r="S19" s="30" t="n"/>
    </row>
    <row r="20">
      <c r="A20" s="30" t="n"/>
      <c r="B20" s="30" t="n"/>
      <c r="C20" s="30" t="n"/>
      <c r="D20" s="30" t="n"/>
      <c r="E20" s="30" t="n"/>
      <c r="F20" s="31" t="n"/>
      <c r="G20" s="31" t="n"/>
      <c r="H20" s="32" t="n"/>
      <c r="I20" s="30" t="n"/>
      <c r="J20" s="30" t="n"/>
      <c r="K20" s="30" t="n"/>
      <c r="L20" s="30" t="n"/>
      <c r="M20" s="30" t="n"/>
      <c r="N20" s="30" t="n"/>
      <c r="O20" s="33" t="n"/>
      <c r="P20" s="33" t="n"/>
      <c r="Q20" s="19">
        <f>IF($A20="","",COUNTIF($I20:$M20,"Y")+IF($N20&lt;&gt;"",1,0))</f>
        <v/>
      </c>
      <c r="R20" s="19">
        <f>IF($A20="","",IF($Q20&gt;=5,"Governed",IF($Q20&gt;=3,"Partial","Ungoverned")))</f>
        <v/>
      </c>
      <c r="S20" s="30" t="n"/>
    </row>
    <row r="21">
      <c r="A21" s="30" t="n"/>
      <c r="B21" s="30" t="n"/>
      <c r="C21" s="30" t="n"/>
      <c r="D21" s="30" t="n"/>
      <c r="E21" s="30" t="n"/>
      <c r="F21" s="31" t="n"/>
      <c r="G21" s="31" t="n"/>
      <c r="H21" s="32" t="n"/>
      <c r="I21" s="30" t="n"/>
      <c r="J21" s="30" t="n"/>
      <c r="K21" s="30" t="n"/>
      <c r="L21" s="30" t="n"/>
      <c r="M21" s="30" t="n"/>
      <c r="N21" s="30" t="n"/>
      <c r="O21" s="33" t="n"/>
      <c r="P21" s="33" t="n"/>
      <c r="Q21" s="19">
        <f>IF($A21="","",COUNTIF($I21:$M21,"Y")+IF($N21&lt;&gt;"",1,0))</f>
        <v/>
      </c>
      <c r="R21" s="19">
        <f>IF($A21="","",IF($Q21&gt;=5,"Governed",IF($Q21&gt;=3,"Partial","Ungoverned")))</f>
        <v/>
      </c>
      <c r="S21" s="30" t="n"/>
    </row>
    <row r="22">
      <c r="A22" s="30" t="n"/>
      <c r="B22" s="30" t="n"/>
      <c r="C22" s="30" t="n"/>
      <c r="D22" s="30" t="n"/>
      <c r="E22" s="30" t="n"/>
      <c r="F22" s="31" t="n"/>
      <c r="G22" s="31" t="n"/>
      <c r="H22" s="32" t="n"/>
      <c r="I22" s="30" t="n"/>
      <c r="J22" s="30" t="n"/>
      <c r="K22" s="30" t="n"/>
      <c r="L22" s="30" t="n"/>
      <c r="M22" s="30" t="n"/>
      <c r="N22" s="30" t="n"/>
      <c r="O22" s="33" t="n"/>
      <c r="P22" s="33" t="n"/>
      <c r="Q22" s="19">
        <f>IF($A22="","",COUNTIF($I22:$M22,"Y")+IF($N22&lt;&gt;"",1,0))</f>
        <v/>
      </c>
      <c r="R22" s="19">
        <f>IF($A22="","",IF($Q22&gt;=5,"Governed",IF($Q22&gt;=3,"Partial","Ungoverned")))</f>
        <v/>
      </c>
      <c r="S22" s="30" t="n"/>
    </row>
    <row r="23">
      <c r="A23" s="30" t="n"/>
      <c r="B23" s="30" t="n"/>
      <c r="C23" s="30" t="n"/>
      <c r="D23" s="30" t="n"/>
      <c r="E23" s="30" t="n"/>
      <c r="F23" s="31" t="n"/>
      <c r="G23" s="31" t="n"/>
      <c r="H23" s="32" t="n"/>
      <c r="I23" s="30" t="n"/>
      <c r="J23" s="30" t="n"/>
      <c r="K23" s="30" t="n"/>
      <c r="L23" s="30" t="n"/>
      <c r="M23" s="30" t="n"/>
      <c r="N23" s="30" t="n"/>
      <c r="O23" s="33" t="n"/>
      <c r="P23" s="33" t="n"/>
      <c r="Q23" s="19">
        <f>IF($A23="","",COUNTIF($I23:$M23,"Y")+IF($N23&lt;&gt;"",1,0))</f>
        <v/>
      </c>
      <c r="R23" s="19">
        <f>IF($A23="","",IF($Q23&gt;=5,"Governed",IF($Q23&gt;=3,"Partial","Ungoverned")))</f>
        <v/>
      </c>
      <c r="S23" s="30" t="n"/>
    </row>
  </sheetData>
  <mergeCells count="1">
    <mergeCell ref="A1:S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4" customWidth="1" min="3" max="3"/>
    <col width="15" customWidth="1" min="4" max="4"/>
  </cols>
  <sheetData>
    <row r="1" ht="26" customHeight="1">
      <c r="A1" s="24" t="inlineStr">
        <is>
          <t>METER LOG  —  one row per agreement per month, from the invoice (yellow = your inputs)</t>
        </is>
      </c>
    </row>
    <row r="3">
      <c r="A3" s="25" t="inlineStr">
        <is>
          <t>Month</t>
        </is>
      </c>
      <c r="B3" s="25" t="inlineStr">
        <is>
          <t>Agreement ID</t>
        </is>
      </c>
      <c r="C3" s="25" t="inlineStr">
        <is>
          <t>Usage (units)</t>
        </is>
      </c>
      <c r="D3" s="25" t="inlineStr">
        <is>
          <t>Billed Spend ($)</t>
        </is>
      </c>
    </row>
    <row r="4">
      <c r="A4" s="34" t="n">
        <v>46082</v>
      </c>
      <c r="B4" s="26" t="inlineStr">
        <is>
          <t>M-01</t>
        </is>
      </c>
      <c r="C4" s="26" t="n">
        <v>2100</v>
      </c>
      <c r="D4" s="28" t="n">
        <v>10500</v>
      </c>
    </row>
    <row r="5">
      <c r="A5" s="34" t="n">
        <v>46113</v>
      </c>
      <c r="B5" s="26" t="inlineStr">
        <is>
          <t>M-01</t>
        </is>
      </c>
      <c r="C5" s="26" t="n">
        <v>2400</v>
      </c>
      <c r="D5" s="28" t="n">
        <v>12000</v>
      </c>
    </row>
    <row r="6">
      <c r="A6" s="34" t="n">
        <v>46143</v>
      </c>
      <c r="B6" s="26" t="inlineStr">
        <is>
          <t>M-01</t>
        </is>
      </c>
      <c r="C6" s="26" t="n">
        <v>2750</v>
      </c>
      <c r="D6" s="28" t="n">
        <v>13750</v>
      </c>
    </row>
    <row r="7">
      <c r="A7" s="34" t="n">
        <v>46174</v>
      </c>
      <c r="B7" s="26" t="inlineStr">
        <is>
          <t>M-01</t>
        </is>
      </c>
      <c r="C7" s="26" t="n">
        <v>3160</v>
      </c>
      <c r="D7" s="28" t="n">
        <v>15800</v>
      </c>
    </row>
    <row r="8">
      <c r="A8" s="34" t="n">
        <v>46204</v>
      </c>
      <c r="B8" s="26" t="inlineStr">
        <is>
          <t>M-01</t>
        </is>
      </c>
      <c r="C8" s="26" t="n">
        <v>3620</v>
      </c>
      <c r="D8" s="28" t="n">
        <v>18100</v>
      </c>
    </row>
    <row r="9">
      <c r="A9" s="34" t="n">
        <v>46235</v>
      </c>
      <c r="B9" s="26" t="inlineStr">
        <is>
          <t>M-01</t>
        </is>
      </c>
      <c r="C9" s="26" t="n">
        <v>4150</v>
      </c>
      <c r="D9" s="28" t="n">
        <v>20750</v>
      </c>
    </row>
    <row r="10">
      <c r="A10" s="34" t="n">
        <v>46082</v>
      </c>
      <c r="B10" s="26" t="inlineStr">
        <is>
          <t>M-02</t>
        </is>
      </c>
      <c r="C10" s="26" t="n">
        <v>1400</v>
      </c>
      <c r="D10" s="28" t="n">
        <v>8400</v>
      </c>
    </row>
    <row r="11">
      <c r="A11" s="34" t="n">
        <v>46113</v>
      </c>
      <c r="B11" s="26" t="inlineStr">
        <is>
          <t>M-02</t>
        </is>
      </c>
      <c r="C11" s="26" t="n">
        <v>1511.7</v>
      </c>
      <c r="D11" s="28" t="n">
        <v>9070</v>
      </c>
    </row>
    <row r="12">
      <c r="A12" s="34" t="n">
        <v>46143</v>
      </c>
      <c r="B12" s="26" t="inlineStr">
        <is>
          <t>M-02</t>
        </is>
      </c>
      <c r="C12" s="26" t="n">
        <v>1633.3</v>
      </c>
      <c r="D12" s="28" t="n">
        <v>9800</v>
      </c>
    </row>
    <row r="13">
      <c r="A13" s="34" t="n">
        <v>46174</v>
      </c>
      <c r="B13" s="26" t="inlineStr">
        <is>
          <t>M-02</t>
        </is>
      </c>
      <c r="C13" s="26" t="n">
        <v>1763.3</v>
      </c>
      <c r="D13" s="28" t="n">
        <v>10580</v>
      </c>
    </row>
    <row r="14">
      <c r="A14" s="34" t="n">
        <v>46204</v>
      </c>
      <c r="B14" s="26" t="inlineStr">
        <is>
          <t>M-02</t>
        </is>
      </c>
      <c r="C14" s="26" t="n">
        <v>1905</v>
      </c>
      <c r="D14" s="28" t="n">
        <v>11430</v>
      </c>
    </row>
    <row r="15">
      <c r="A15" s="34" t="n">
        <v>46235</v>
      </c>
      <c r="B15" s="26" t="inlineStr">
        <is>
          <t>M-02</t>
        </is>
      </c>
      <c r="C15" s="26" t="n">
        <v>2056.7</v>
      </c>
      <c r="D15" s="28" t="n">
        <v>12340</v>
      </c>
    </row>
    <row r="16">
      <c r="A16" s="34" t="n">
        <v>46082</v>
      </c>
      <c r="B16" s="26" t="inlineStr">
        <is>
          <t>M-03</t>
        </is>
      </c>
      <c r="C16" s="26" t="n">
        <v>5200</v>
      </c>
      <c r="D16" s="28" t="n">
        <v>12220</v>
      </c>
    </row>
    <row r="17">
      <c r="A17" s="34" t="n">
        <v>46113</v>
      </c>
      <c r="B17" s="26" t="inlineStr">
        <is>
          <t>M-03</t>
        </is>
      </c>
      <c r="C17" s="26" t="n">
        <v>5200</v>
      </c>
      <c r="D17" s="28" t="n">
        <v>12220</v>
      </c>
    </row>
    <row r="18">
      <c r="A18" s="34" t="n">
        <v>46143</v>
      </c>
      <c r="B18" s="26" t="inlineStr">
        <is>
          <t>M-03</t>
        </is>
      </c>
      <c r="C18" s="26" t="n">
        <v>5200</v>
      </c>
      <c r="D18" s="28" t="n">
        <v>12220</v>
      </c>
    </row>
    <row r="19">
      <c r="A19" s="34" t="n">
        <v>46174</v>
      </c>
      <c r="B19" s="26" t="inlineStr">
        <is>
          <t>M-03</t>
        </is>
      </c>
      <c r="C19" s="26" t="n">
        <v>5200</v>
      </c>
      <c r="D19" s="28" t="n">
        <v>12220</v>
      </c>
    </row>
    <row r="20">
      <c r="A20" s="34" t="n">
        <v>46204</v>
      </c>
      <c r="B20" s="26" t="inlineStr">
        <is>
          <t>M-03</t>
        </is>
      </c>
      <c r="C20" s="26" t="n">
        <v>5200</v>
      </c>
      <c r="D20" s="28" t="n">
        <v>12220</v>
      </c>
    </row>
    <row r="21">
      <c r="A21" s="34" t="n">
        <v>46235</v>
      </c>
      <c r="B21" s="26" t="inlineStr">
        <is>
          <t>M-03</t>
        </is>
      </c>
      <c r="C21" s="26" t="n">
        <v>5200</v>
      </c>
      <c r="D21" s="28" t="n">
        <v>12220</v>
      </c>
    </row>
    <row r="22">
      <c r="A22" s="34" t="n">
        <v>46082</v>
      </c>
      <c r="B22" s="26" t="inlineStr">
        <is>
          <t>M-04</t>
        </is>
      </c>
      <c r="C22" s="26" t="n">
        <v>410</v>
      </c>
      <c r="D22" s="28" t="n">
        <v>4100</v>
      </c>
    </row>
    <row r="23">
      <c r="A23" s="34" t="n">
        <v>46113</v>
      </c>
      <c r="B23" s="26" t="inlineStr">
        <is>
          <t>M-04</t>
        </is>
      </c>
      <c r="C23" s="26" t="n">
        <v>435</v>
      </c>
      <c r="D23" s="28" t="n">
        <v>4350</v>
      </c>
    </row>
    <row r="24">
      <c r="A24" s="34" t="n">
        <v>46143</v>
      </c>
      <c r="B24" s="26" t="inlineStr">
        <is>
          <t>M-04</t>
        </is>
      </c>
      <c r="C24" s="26" t="n">
        <v>460</v>
      </c>
      <c r="D24" s="28" t="n">
        <v>4600</v>
      </c>
    </row>
    <row r="25">
      <c r="A25" s="34" t="n">
        <v>46174</v>
      </c>
      <c r="B25" s="26" t="inlineStr">
        <is>
          <t>M-04</t>
        </is>
      </c>
      <c r="C25" s="26" t="n">
        <v>485</v>
      </c>
      <c r="D25" s="28" t="n">
        <v>4850</v>
      </c>
    </row>
    <row r="26">
      <c r="A26" s="34" t="n">
        <v>46204</v>
      </c>
      <c r="B26" s="26" t="inlineStr">
        <is>
          <t>M-04</t>
        </is>
      </c>
      <c r="C26" s="26" t="n">
        <v>515</v>
      </c>
      <c r="D26" s="28" t="n">
        <v>5150</v>
      </c>
    </row>
    <row r="27">
      <c r="A27" s="34" t="n">
        <v>46235</v>
      </c>
      <c r="B27" s="26" t="inlineStr">
        <is>
          <t>M-04</t>
        </is>
      </c>
      <c r="C27" s="26" t="n">
        <v>545</v>
      </c>
      <c r="D27" s="28" t="n">
        <v>5450</v>
      </c>
    </row>
    <row r="28">
      <c r="A28" s="34" t="n">
        <v>46082</v>
      </c>
      <c r="B28" s="26" t="inlineStr">
        <is>
          <t>M-05</t>
        </is>
      </c>
      <c r="C28" s="26" t="n">
        <v>4404.8</v>
      </c>
      <c r="D28" s="28" t="n">
        <v>18500</v>
      </c>
    </row>
    <row r="29">
      <c r="A29" s="34" t="n">
        <v>46113</v>
      </c>
      <c r="B29" s="26" t="inlineStr">
        <is>
          <t>M-05</t>
        </is>
      </c>
      <c r="C29" s="26" t="n">
        <v>4809.5</v>
      </c>
      <c r="D29" s="28" t="n">
        <v>20200</v>
      </c>
    </row>
    <row r="30">
      <c r="A30" s="34" t="n">
        <v>46143</v>
      </c>
      <c r="B30" s="26" t="inlineStr">
        <is>
          <t>M-05</t>
        </is>
      </c>
      <c r="C30" s="26" t="n">
        <v>5261.9</v>
      </c>
      <c r="D30" s="28" t="n">
        <v>22100</v>
      </c>
    </row>
    <row r="31">
      <c r="A31" s="34" t="n">
        <v>46174</v>
      </c>
      <c r="B31" s="26" t="inlineStr">
        <is>
          <t>M-05</t>
        </is>
      </c>
      <c r="C31" s="26" t="n">
        <v>5785.7</v>
      </c>
      <c r="D31" s="28" t="n">
        <v>24300</v>
      </c>
    </row>
    <row r="32">
      <c r="A32" s="34" t="n">
        <v>46204</v>
      </c>
      <c r="B32" s="26" t="inlineStr">
        <is>
          <t>M-05</t>
        </is>
      </c>
      <c r="C32" s="26" t="n">
        <v>6381</v>
      </c>
      <c r="D32" s="28" t="n">
        <v>26800</v>
      </c>
    </row>
    <row r="33">
      <c r="A33" s="34" t="n">
        <v>46235</v>
      </c>
      <c r="B33" s="26" t="inlineStr">
        <is>
          <t>M-05</t>
        </is>
      </c>
      <c r="C33" s="26" t="n">
        <v>7047.6</v>
      </c>
      <c r="D33" s="28" t="n">
        <v>29600</v>
      </c>
    </row>
    <row r="34">
      <c r="A34" s="34" t="n">
        <v>46082</v>
      </c>
      <c r="B34" s="26" t="inlineStr">
        <is>
          <t>M-06</t>
        </is>
      </c>
      <c r="C34" s="26" t="n">
        <v>2000</v>
      </c>
      <c r="D34" s="28" t="n">
        <v>3400</v>
      </c>
    </row>
    <row r="35">
      <c r="A35" s="34" t="n">
        <v>46113</v>
      </c>
      <c r="B35" s="26" t="inlineStr">
        <is>
          <t>M-06</t>
        </is>
      </c>
      <c r="C35" s="26" t="n">
        <v>2000</v>
      </c>
      <c r="D35" s="28" t="n">
        <v>3400</v>
      </c>
    </row>
    <row r="36">
      <c r="A36" s="34" t="n">
        <v>46143</v>
      </c>
      <c r="B36" s="26" t="inlineStr">
        <is>
          <t>M-06</t>
        </is>
      </c>
      <c r="C36" s="26" t="n">
        <v>2000</v>
      </c>
      <c r="D36" s="28" t="n">
        <v>3400</v>
      </c>
    </row>
    <row r="37">
      <c r="A37" s="34" t="n">
        <v>46174</v>
      </c>
      <c r="B37" s="26" t="inlineStr">
        <is>
          <t>M-06</t>
        </is>
      </c>
      <c r="C37" s="26" t="n">
        <v>2000</v>
      </c>
      <c r="D37" s="28" t="n">
        <v>3400</v>
      </c>
    </row>
    <row r="38">
      <c r="A38" s="34" t="n">
        <v>46204</v>
      </c>
      <c r="B38" s="26" t="inlineStr">
        <is>
          <t>M-06</t>
        </is>
      </c>
      <c r="C38" s="26" t="n">
        <v>2000</v>
      </c>
      <c r="D38" s="28" t="n">
        <v>3400</v>
      </c>
    </row>
    <row r="39">
      <c r="A39" s="34" t="n">
        <v>46235</v>
      </c>
      <c r="B39" s="26" t="inlineStr">
        <is>
          <t>M-06</t>
        </is>
      </c>
      <c r="C39" s="26" t="n">
        <v>2000</v>
      </c>
      <c r="D39" s="28" t="n">
        <v>3400</v>
      </c>
    </row>
    <row r="40">
      <c r="A40" s="34" t="n">
        <v>46082</v>
      </c>
      <c r="B40" s="26" t="inlineStr">
        <is>
          <t>M-07</t>
        </is>
      </c>
      <c r="C40" s="26" t="n">
        <v>150</v>
      </c>
      <c r="D40" s="28" t="n">
        <v>1650</v>
      </c>
    </row>
    <row r="41">
      <c r="A41" s="34" t="n">
        <v>46113</v>
      </c>
      <c r="B41" s="26" t="inlineStr">
        <is>
          <t>M-07</t>
        </is>
      </c>
      <c r="C41" s="26" t="n">
        <v>154.5</v>
      </c>
      <c r="D41" s="28" t="n">
        <v>1700</v>
      </c>
    </row>
    <row r="42">
      <c r="A42" s="34" t="n">
        <v>46143</v>
      </c>
      <c r="B42" s="26" t="inlineStr">
        <is>
          <t>M-07</t>
        </is>
      </c>
      <c r="C42" s="26" t="n">
        <v>160</v>
      </c>
      <c r="D42" s="28" t="n">
        <v>1760</v>
      </c>
    </row>
    <row r="43">
      <c r="A43" s="34" t="n">
        <v>46174</v>
      </c>
      <c r="B43" s="26" t="inlineStr">
        <is>
          <t>M-07</t>
        </is>
      </c>
      <c r="C43" s="26" t="n">
        <v>165</v>
      </c>
      <c r="D43" s="28" t="n">
        <v>1815</v>
      </c>
    </row>
    <row r="44">
      <c r="A44" s="34" t="n">
        <v>46204</v>
      </c>
      <c r="B44" s="26" t="inlineStr">
        <is>
          <t>M-07</t>
        </is>
      </c>
      <c r="C44" s="26" t="n">
        <v>170</v>
      </c>
      <c r="D44" s="28" t="n">
        <v>1870</v>
      </c>
    </row>
    <row r="45">
      <c r="A45" s="34" t="n">
        <v>46235</v>
      </c>
      <c r="B45" s="26" t="inlineStr">
        <is>
          <t>M-07</t>
        </is>
      </c>
      <c r="C45" s="26" t="n">
        <v>175</v>
      </c>
      <c r="D45" s="28" t="n">
        <v>1925</v>
      </c>
    </row>
    <row r="46">
      <c r="A46" s="34" t="n">
        <v>46082</v>
      </c>
      <c r="B46" s="26" t="inlineStr">
        <is>
          <t>M-08</t>
        </is>
      </c>
      <c r="C46" s="26" t="n"/>
      <c r="D46" s="28" t="n">
        <v>1450</v>
      </c>
    </row>
    <row r="47">
      <c r="A47" s="34" t="n">
        <v>46113</v>
      </c>
      <c r="B47" s="26" t="inlineStr">
        <is>
          <t>M-08</t>
        </is>
      </c>
      <c r="C47" s="26" t="n"/>
      <c r="D47" s="28" t="n">
        <v>1500</v>
      </c>
    </row>
    <row r="48">
      <c r="A48" s="34" t="n">
        <v>46143</v>
      </c>
      <c r="B48" s="26" t="inlineStr">
        <is>
          <t>M-08</t>
        </is>
      </c>
      <c r="C48" s="26" t="n"/>
      <c r="D48" s="28" t="n">
        <v>1580</v>
      </c>
    </row>
    <row r="49">
      <c r="A49" s="34" t="n">
        <v>46174</v>
      </c>
      <c r="B49" s="26" t="inlineStr">
        <is>
          <t>M-08</t>
        </is>
      </c>
      <c r="C49" s="26" t="n"/>
      <c r="D49" s="28" t="n">
        <v>1610</v>
      </c>
    </row>
    <row r="50">
      <c r="A50" s="34" t="n">
        <v>46204</v>
      </c>
      <c r="B50" s="26" t="inlineStr">
        <is>
          <t>M-08</t>
        </is>
      </c>
      <c r="C50" s="26" t="n"/>
      <c r="D50" s="28" t="n">
        <v>1720</v>
      </c>
    </row>
    <row r="51">
      <c r="A51" s="34" t="n">
        <v>46235</v>
      </c>
      <c r="B51" s="26" t="inlineStr">
        <is>
          <t>M-08</t>
        </is>
      </c>
      <c r="C51" s="26" t="n"/>
      <c r="D51" s="28" t="n">
        <v>1790</v>
      </c>
    </row>
    <row r="52">
      <c r="A52" s="35" t="n"/>
      <c r="B52" s="30" t="n"/>
      <c r="C52" s="30" t="n"/>
      <c r="D52" s="32" t="n"/>
    </row>
    <row r="53">
      <c r="A53" s="35" t="n"/>
      <c r="B53" s="30" t="n"/>
      <c r="C53" s="30" t="n"/>
      <c r="D53" s="32" t="n"/>
    </row>
    <row r="54">
      <c r="A54" s="35" t="n"/>
      <c r="B54" s="30" t="n"/>
      <c r="C54" s="30" t="n"/>
      <c r="D54" s="32" t="n"/>
    </row>
    <row r="55">
      <c r="A55" s="35" t="n"/>
      <c r="B55" s="30" t="n"/>
      <c r="C55" s="30" t="n"/>
      <c r="D55" s="32" t="n"/>
    </row>
    <row r="56">
      <c r="A56" s="35" t="n"/>
      <c r="B56" s="30" t="n"/>
      <c r="C56" s="30" t="n"/>
      <c r="D56" s="32" t="n"/>
    </row>
    <row r="57">
      <c r="A57" s="35" t="n"/>
      <c r="B57" s="30" t="n"/>
      <c r="C57" s="30" t="n"/>
      <c r="D57" s="32" t="n"/>
    </row>
    <row r="58">
      <c r="A58" s="35" t="n"/>
      <c r="B58" s="30" t="n"/>
      <c r="C58" s="30" t="n"/>
      <c r="D58" s="32" t="n"/>
    </row>
    <row r="59">
      <c r="A59" s="35" t="n"/>
      <c r="B59" s="30" t="n"/>
      <c r="C59" s="30" t="n"/>
      <c r="D59" s="32" t="n"/>
    </row>
    <row r="60">
      <c r="A60" s="35" t="n"/>
      <c r="B60" s="30" t="n"/>
      <c r="C60" s="30" t="n"/>
      <c r="D60" s="32" t="n"/>
    </row>
    <row r="61">
      <c r="A61" s="35" t="n"/>
      <c r="B61" s="30" t="n"/>
      <c r="C61" s="30" t="n"/>
      <c r="D61" s="32" t="n"/>
    </row>
    <row r="62">
      <c r="A62" s="35" t="n"/>
      <c r="B62" s="30" t="n"/>
      <c r="C62" s="30" t="n"/>
      <c r="D62" s="32" t="n"/>
    </row>
    <row r="63">
      <c r="A63" s="35" t="n"/>
      <c r="B63" s="30" t="n"/>
      <c r="C63" s="30" t="n"/>
      <c r="D63" s="32" t="n"/>
    </row>
    <row r="64">
      <c r="A64" s="35" t="n"/>
      <c r="B64" s="30" t="n"/>
      <c r="C64" s="30" t="n"/>
      <c r="D64" s="32" t="n"/>
    </row>
    <row r="65">
      <c r="A65" s="35" t="n"/>
      <c r="B65" s="30" t="n"/>
      <c r="C65" s="30" t="n"/>
      <c r="D65" s="32" t="n"/>
    </row>
    <row r="66">
      <c r="A66" s="35" t="n"/>
      <c r="B66" s="30" t="n"/>
      <c r="C66" s="30" t="n"/>
      <c r="D66" s="32" t="n"/>
    </row>
    <row r="67">
      <c r="A67" s="35" t="n"/>
      <c r="B67" s="30" t="n"/>
      <c r="C67" s="30" t="n"/>
      <c r="D67" s="32" t="n"/>
    </row>
    <row r="68">
      <c r="A68" s="35" t="n"/>
      <c r="B68" s="30" t="n"/>
      <c r="C68" s="30" t="n"/>
      <c r="D68" s="32" t="n"/>
    </row>
    <row r="69">
      <c r="A69" s="35" t="n"/>
      <c r="B69" s="30" t="n"/>
      <c r="C69" s="30" t="n"/>
      <c r="D69" s="32" t="n"/>
    </row>
    <row r="70">
      <c r="A70" s="35" t="n"/>
      <c r="B70" s="30" t="n"/>
      <c r="C70" s="30" t="n"/>
      <c r="D70" s="32" t="n"/>
    </row>
    <row r="71">
      <c r="A71" s="35" t="n"/>
      <c r="B71" s="30" t="n"/>
      <c r="C71" s="30" t="n"/>
      <c r="D71" s="32" t="n"/>
    </row>
    <row r="72">
      <c r="A72" s="35" t="n"/>
      <c r="B72" s="30" t="n"/>
      <c r="C72" s="30" t="n"/>
      <c r="D72" s="32" t="n"/>
    </row>
    <row r="73">
      <c r="A73" s="35" t="n"/>
      <c r="B73" s="30" t="n"/>
      <c r="C73" s="30" t="n"/>
      <c r="D73" s="32" t="n"/>
    </row>
    <row r="74">
      <c r="A74" s="35" t="n"/>
      <c r="B74" s="30" t="n"/>
      <c r="C74" s="30" t="n"/>
      <c r="D74" s="32" t="n"/>
    </row>
    <row r="75">
      <c r="A75" s="35" t="n"/>
      <c r="B75" s="30" t="n"/>
      <c r="C75" s="30" t="n"/>
      <c r="D75" s="32" t="n"/>
    </row>
    <row r="76">
      <c r="A76" s="35" t="n"/>
      <c r="B76" s="30" t="n"/>
      <c r="C76" s="30" t="n"/>
      <c r="D76" s="32" t="n"/>
    </row>
    <row r="77">
      <c r="A77" s="35" t="n"/>
      <c r="B77" s="30" t="n"/>
      <c r="C77" s="30" t="n"/>
      <c r="D77" s="32" t="n"/>
    </row>
    <row r="78">
      <c r="A78" s="35" t="n"/>
      <c r="B78" s="30" t="n"/>
      <c r="C78" s="30" t="n"/>
      <c r="D78" s="32" t="n"/>
    </row>
    <row r="79">
      <c r="A79" s="35" t="n"/>
      <c r="B79" s="30" t="n"/>
      <c r="C79" s="30" t="n"/>
      <c r="D79" s="32" t="n"/>
    </row>
    <row r="80">
      <c r="A80" s="35" t="n"/>
      <c r="B80" s="30" t="n"/>
      <c r="C80" s="30" t="n"/>
      <c r="D80" s="32" t="n"/>
    </row>
    <row r="81">
      <c r="A81" s="35" t="n"/>
      <c r="B81" s="30" t="n"/>
      <c r="C81" s="30" t="n"/>
      <c r="D81" s="32" t="n"/>
    </row>
    <row r="82">
      <c r="A82" s="35" t="n"/>
      <c r="B82" s="30" t="n"/>
      <c r="C82" s="30" t="n"/>
      <c r="D82" s="32" t="n"/>
    </row>
    <row r="83">
      <c r="A83" s="35" t="n"/>
      <c r="B83" s="30" t="n"/>
      <c r="C83" s="30" t="n"/>
      <c r="D83" s="32" t="n"/>
    </row>
    <row r="84">
      <c r="A84" s="35" t="n"/>
      <c r="B84" s="30" t="n"/>
      <c r="C84" s="30" t="n"/>
      <c r="D84" s="32" t="n"/>
    </row>
    <row r="85">
      <c r="A85" s="35" t="n"/>
      <c r="B85" s="30" t="n"/>
      <c r="C85" s="30" t="n"/>
      <c r="D85" s="32" t="n"/>
    </row>
    <row r="86">
      <c r="A86" s="35" t="n"/>
      <c r="B86" s="30" t="n"/>
      <c r="C86" s="30" t="n"/>
      <c r="D86" s="32" t="n"/>
    </row>
    <row r="87">
      <c r="A87" s="35" t="n"/>
      <c r="B87" s="30" t="n"/>
      <c r="C87" s="30" t="n"/>
      <c r="D87" s="32" t="n"/>
    </row>
    <row r="88">
      <c r="A88" s="35" t="n"/>
      <c r="B88" s="30" t="n"/>
      <c r="C88" s="30" t="n"/>
      <c r="D88" s="32" t="n"/>
    </row>
    <row r="89">
      <c r="A89" s="35" t="n"/>
      <c r="B89" s="30" t="n"/>
      <c r="C89" s="30" t="n"/>
      <c r="D89" s="32" t="n"/>
    </row>
    <row r="90">
      <c r="A90" s="35" t="n"/>
      <c r="B90" s="30" t="n"/>
      <c r="C90" s="30" t="n"/>
      <c r="D90" s="32" t="n"/>
    </row>
    <row r="91">
      <c r="A91" s="35" t="n"/>
      <c r="B91" s="30" t="n"/>
      <c r="C91" s="30" t="n"/>
      <c r="D91" s="32" t="n"/>
    </row>
    <row r="92">
      <c r="A92" s="35" t="n"/>
      <c r="B92" s="30" t="n"/>
      <c r="C92" s="30" t="n"/>
      <c r="D92" s="32" t="n"/>
    </row>
    <row r="93">
      <c r="A93" s="35" t="n"/>
      <c r="B93" s="30" t="n"/>
      <c r="C93" s="30" t="n"/>
      <c r="D93" s="32" t="n"/>
    </row>
    <row r="94">
      <c r="A94" s="35" t="n"/>
      <c r="B94" s="30" t="n"/>
      <c r="C94" s="30" t="n"/>
      <c r="D94" s="32" t="n"/>
    </row>
    <row r="95">
      <c r="A95" s="35" t="n"/>
      <c r="B95" s="30" t="n"/>
      <c r="C95" s="30" t="n"/>
      <c r="D95" s="32" t="n"/>
    </row>
    <row r="96">
      <c r="A96" s="35" t="n"/>
      <c r="B96" s="30" t="n"/>
      <c r="C96" s="30" t="n"/>
      <c r="D96" s="32" t="n"/>
    </row>
    <row r="97">
      <c r="A97" s="35" t="n"/>
      <c r="B97" s="30" t="n"/>
      <c r="C97" s="30" t="n"/>
      <c r="D97" s="32" t="n"/>
    </row>
    <row r="98">
      <c r="A98" s="35" t="n"/>
      <c r="B98" s="30" t="n"/>
      <c r="C98" s="30" t="n"/>
      <c r="D98" s="32" t="n"/>
    </row>
    <row r="99">
      <c r="A99" s="35" t="n"/>
      <c r="B99" s="30" t="n"/>
      <c r="C99" s="30" t="n"/>
      <c r="D99" s="32" t="n"/>
    </row>
    <row r="100">
      <c r="A100" s="35" t="n"/>
      <c r="B100" s="30" t="n"/>
      <c r="C100" s="30" t="n"/>
      <c r="D100" s="32" t="n"/>
    </row>
    <row r="101">
      <c r="A101" s="35" t="n"/>
      <c r="B101" s="30" t="n"/>
      <c r="C101" s="30" t="n"/>
      <c r="D101" s="32" t="n"/>
    </row>
    <row r="102">
      <c r="A102" s="35" t="n"/>
      <c r="B102" s="30" t="n"/>
      <c r="C102" s="30" t="n"/>
      <c r="D102" s="32" t="n"/>
    </row>
    <row r="103">
      <c r="A103" s="35" t="n"/>
      <c r="B103" s="30" t="n"/>
      <c r="C103" s="30" t="n"/>
      <c r="D103" s="32" t="n"/>
    </row>
    <row r="104">
      <c r="A104" s="35" t="n"/>
      <c r="B104" s="30" t="n"/>
      <c r="C104" s="30" t="n"/>
      <c r="D104" s="32" t="n"/>
    </row>
    <row r="105">
      <c r="A105" s="35" t="n"/>
      <c r="B105" s="30" t="n"/>
      <c r="C105" s="30" t="n"/>
      <c r="D105" s="32" t="n"/>
    </row>
    <row r="106">
      <c r="A106" s="35" t="n"/>
      <c r="B106" s="30" t="n"/>
      <c r="C106" s="30" t="n"/>
      <c r="D106" s="32" t="n"/>
    </row>
    <row r="107">
      <c r="A107" s="35" t="n"/>
      <c r="B107" s="30" t="n"/>
      <c r="C107" s="30" t="n"/>
      <c r="D107" s="32" t="n"/>
    </row>
    <row r="108">
      <c r="A108" s="35" t="n"/>
      <c r="B108" s="30" t="n"/>
      <c r="C108" s="30" t="n"/>
      <c r="D108" s="32" t="n"/>
    </row>
    <row r="109">
      <c r="A109" s="35" t="n"/>
      <c r="B109" s="30" t="n"/>
      <c r="C109" s="30" t="n"/>
      <c r="D109" s="32" t="n"/>
    </row>
    <row r="110">
      <c r="A110" s="35" t="n"/>
      <c r="B110" s="30" t="n"/>
      <c r="C110" s="30" t="n"/>
      <c r="D110" s="32" t="n"/>
    </row>
    <row r="111">
      <c r="A111" s="35" t="n"/>
      <c r="B111" s="30" t="n"/>
      <c r="C111" s="30" t="n"/>
      <c r="D111" s="32" t="n"/>
    </row>
    <row r="112">
      <c r="A112" s="35" t="n"/>
      <c r="B112" s="30" t="n"/>
      <c r="C112" s="30" t="n"/>
      <c r="D112" s="32" t="n"/>
    </row>
    <row r="113">
      <c r="A113" s="35" t="n"/>
      <c r="B113" s="30" t="n"/>
      <c r="C113" s="30" t="n"/>
      <c r="D113" s="32" t="n"/>
    </row>
    <row r="114">
      <c r="A114" s="35" t="n"/>
      <c r="B114" s="30" t="n"/>
      <c r="C114" s="30" t="n"/>
      <c r="D114" s="32" t="n"/>
    </row>
    <row r="115">
      <c r="A115" s="35" t="n"/>
      <c r="B115" s="30" t="n"/>
      <c r="C115" s="30" t="n"/>
      <c r="D115" s="32" t="n"/>
    </row>
    <row r="116">
      <c r="A116" s="35" t="n"/>
      <c r="B116" s="30" t="n"/>
      <c r="C116" s="30" t="n"/>
      <c r="D116" s="32" t="n"/>
    </row>
    <row r="117">
      <c r="A117" s="35" t="n"/>
      <c r="B117" s="30" t="n"/>
      <c r="C117" s="30" t="n"/>
      <c r="D117" s="32" t="n"/>
    </row>
    <row r="118">
      <c r="A118" s="35" t="n"/>
      <c r="B118" s="30" t="n"/>
      <c r="C118" s="30" t="n"/>
      <c r="D118" s="32" t="n"/>
    </row>
    <row r="119">
      <c r="A119" s="35" t="n"/>
      <c r="B119" s="30" t="n"/>
      <c r="C119" s="30" t="n"/>
      <c r="D119" s="32" t="n"/>
    </row>
    <row r="120">
      <c r="A120" s="35" t="n"/>
      <c r="B120" s="30" t="n"/>
      <c r="C120" s="30" t="n"/>
      <c r="D120" s="32" t="n"/>
    </row>
    <row r="121">
      <c r="A121" s="35" t="n"/>
      <c r="B121" s="30" t="n"/>
      <c r="C121" s="30" t="n"/>
      <c r="D121" s="32" t="n"/>
    </row>
    <row r="122">
      <c r="A122" s="35" t="n"/>
      <c r="B122" s="30" t="n"/>
      <c r="C122" s="30" t="n"/>
      <c r="D122" s="32" t="n"/>
    </row>
    <row r="123">
      <c r="A123" s="35" t="n"/>
      <c r="B123" s="30" t="n"/>
      <c r="C123" s="30" t="n"/>
      <c r="D123" s="32" t="n"/>
    </row>
    <row r="124">
      <c r="A124" s="35" t="n"/>
      <c r="B124" s="30" t="n"/>
      <c r="C124" s="30" t="n"/>
      <c r="D124" s="32" t="n"/>
    </row>
    <row r="125">
      <c r="A125" s="35" t="n"/>
      <c r="B125" s="30" t="n"/>
      <c r="C125" s="30" t="n"/>
      <c r="D125" s="32" t="n"/>
    </row>
    <row r="126">
      <c r="A126" s="35" t="n"/>
      <c r="B126" s="30" t="n"/>
      <c r="C126" s="30" t="n"/>
      <c r="D126" s="32" t="n"/>
    </row>
    <row r="127">
      <c r="A127" s="35" t="n"/>
      <c r="B127" s="30" t="n"/>
      <c r="C127" s="30" t="n"/>
      <c r="D127" s="32" t="n"/>
    </row>
    <row r="128">
      <c r="A128" s="35" t="n"/>
      <c r="B128" s="30" t="n"/>
      <c r="C128" s="30" t="n"/>
      <c r="D128" s="32" t="n"/>
    </row>
    <row r="129">
      <c r="A129" s="35" t="n"/>
      <c r="B129" s="30" t="n"/>
      <c r="C129" s="30" t="n"/>
      <c r="D129" s="32" t="n"/>
    </row>
    <row r="130">
      <c r="A130" s="35" t="n"/>
      <c r="B130" s="30" t="n"/>
      <c r="C130" s="30" t="n"/>
      <c r="D130" s="32" t="n"/>
    </row>
    <row r="131">
      <c r="A131" s="35" t="n"/>
      <c r="B131" s="30" t="n"/>
      <c r="C131" s="30" t="n"/>
      <c r="D131" s="32" t="n"/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6" customWidth="1" min="2" max="2"/>
    <col width="11" customWidth="1" min="3" max="3"/>
    <col width="12" customWidth="1" min="4" max="4"/>
    <col width="11" customWidth="1" min="5" max="5"/>
    <col width="11" customWidth="1" min="6" max="6"/>
    <col width="10" customWidth="1" min="7" max="7"/>
    <col width="12" customWidth="1" min="8" max="8"/>
    <col width="12" customWidth="1" min="9" max="9"/>
    <col width="9" customWidth="1" min="10" max="10"/>
    <col width="11" customWidth="1" min="11" max="11"/>
    <col width="13" customWidth="1" min="12" max="12"/>
    <col width="13" customWidth="1" min="13" max="13"/>
    <col width="13" customWidth="1" min="14" max="14"/>
    <col width="12" customWidth="1" min="15" max="15"/>
    <col width="12" customWidth="1" min="16" max="16"/>
  </cols>
  <sheetData>
    <row r="1" ht="26" customHeight="1">
      <c r="A1" s="24" t="inlineStr">
        <is>
          <t>ANALYSIS  —  calculated per agreement. Reporting month is set on the Dashboard. Do not type here.</t>
        </is>
      </c>
    </row>
    <row r="3" ht="40" customHeight="1">
      <c r="A3" s="25" t="inlineStr">
        <is>
          <t>ID</t>
        </is>
      </c>
      <c r="B3" s="25" t="inlineStr">
        <is>
          <t>Vendor</t>
        </is>
      </c>
      <c r="C3" s="25" t="inlineStr">
        <is>
          <t>Latest Usage</t>
        </is>
      </c>
      <c r="D3" s="25" t="inlineStr">
        <is>
          <t>Latest Spend ($)</t>
        </is>
      </c>
      <c r="E3" s="25" t="inlineStr">
        <is>
          <t>Effective Rate ($)</t>
        </is>
      </c>
      <c r="F3" s="25" t="inlineStr">
        <is>
          <t>Contracted Rate ($)</t>
        </is>
      </c>
      <c r="G3" s="25" t="inlineStr">
        <is>
          <t>Rate Variance %</t>
        </is>
      </c>
      <c r="H3" s="25" t="inlineStr">
        <is>
          <t>Billing Variance $ (mo)</t>
        </is>
      </c>
      <c r="I3" s="25" t="inlineStr">
        <is>
          <t>Prior Month Spend ($)</t>
        </is>
      </c>
      <c r="J3" s="25" t="inlineStr">
        <is>
          <t>MoM Growth</t>
        </is>
      </c>
      <c r="K3" s="25" t="inlineStr">
        <is>
          <t>YTD Spend ($)</t>
        </is>
      </c>
      <c r="L3" s="25" t="inlineStr">
        <is>
          <t>Annualized Run Rate ($)</t>
        </is>
      </c>
      <c r="M3" s="25" t="inlineStr">
        <is>
          <t>Annual Commitment ($)</t>
        </is>
      </c>
      <c r="N3" s="25" t="inlineStr">
        <is>
          <t>Projected Annual ($)</t>
        </is>
      </c>
      <c r="O3" s="25" t="inlineStr">
        <is>
          <t>Projected Overage ($)</t>
        </is>
      </c>
      <c r="P3" s="25" t="inlineStr">
        <is>
          <t>Governance Rating</t>
        </is>
      </c>
    </row>
    <row r="4">
      <c r="A4" s="19">
        <f>IF(Register!$A$4="","",Register!$A$4)</f>
        <v/>
      </c>
      <c r="B4" s="19">
        <f>IF($A4="","",INDEX(Register!$B$4:$B$23,MATCH($A4,Register!$A$4:$A$23,0)))</f>
        <v/>
      </c>
      <c r="C4" s="19">
        <f>IF($A4="","",SUMIFS('Meter Log'!$C$4:$C$131,'Meter Log'!$B$4:$B$131,$A4,'Meter Log'!$A$4:$A$131,Dashboard!$C$3))</f>
        <v/>
      </c>
      <c r="D4" s="20">
        <f>IF($A4="","",SUMIFS('Meter Log'!$D$4:$D$131,'Meter Log'!$B$4:$B$131,$A4,'Meter Log'!$A$4:$A$131,Dashboard!$C$3))</f>
        <v/>
      </c>
      <c r="E4" s="36">
        <f>IF($A4="","",IFERROR($D4/$C4,""))</f>
        <v/>
      </c>
      <c r="F4" s="36">
        <f>IF($A4="","",IFERROR(INDEX(Register!$F$4:$F$23,MATCH($A4,Register!$A$4:$A$23,0)),""))</f>
        <v/>
      </c>
      <c r="G4" s="21">
        <f>IF($A4="","",IFERROR(($E4-$F4)/$F4,""))</f>
        <v/>
      </c>
      <c r="H4" s="20">
        <f>IF($A4="",0,IFERROR(($E4-$F4)*$C4,0))</f>
        <v/>
      </c>
      <c r="I4" s="20">
        <f>IF($A4="","",SUMIFS('Meter Log'!$D$4:$D$131,'Meter Log'!$B$4:$B$131,$A4,'Meter Log'!$A$4:$A$131,EDATE(Dashboard!$C$3,-1)))</f>
        <v/>
      </c>
      <c r="J4" s="21">
        <f>IF($A4="","",IFERROR($D4/$I4-1,""))</f>
        <v/>
      </c>
      <c r="K4" s="20">
        <f>IF($A4="","",SUMIFS('Meter Log'!$D$4:$D$131,'Meter Log'!$B$4:$B$131,$A4,'Meter Log'!$A$4:$A$131,"&gt;="&amp;DATE(YEAR(Dashboard!$C$3),1,1),'Meter Log'!$A$4:$A$131,"&lt;="&amp;Dashboard!$C$3))</f>
        <v/>
      </c>
      <c r="L4" s="20">
        <f>IF($A4="","",$D4*12)</f>
        <v/>
      </c>
      <c r="M4" s="20">
        <f>IF($A4="","",IFERROR(INDEX(Register!$H$4:$H$23,MATCH($A4,Register!$A$4:$A$23,0)),0))</f>
        <v/>
      </c>
      <c r="N4" s="20">
        <f>IF($A4="","",$K4+$D4*(12-MONTH(Dashboard!$C$3)))</f>
        <v/>
      </c>
      <c r="O4" s="20">
        <f>IF($A4="",0,IF(AND(ISNUMBER($M4),$M4&gt;0),MAX(0,$N4-$M4),0))</f>
        <v/>
      </c>
      <c r="P4" s="19">
        <f>IF($A4="","",INDEX(Register!$R$4:$R$23,MATCH($A4,Register!$A$4:$A$23,0)))</f>
        <v/>
      </c>
    </row>
    <row r="5">
      <c r="A5" s="19">
        <f>IF(Register!$A$5="","",Register!$A$5)</f>
        <v/>
      </c>
      <c r="B5" s="19">
        <f>IF($A5="","",INDEX(Register!$B$4:$B$23,MATCH($A5,Register!$A$4:$A$23,0)))</f>
        <v/>
      </c>
      <c r="C5" s="19">
        <f>IF($A5="","",SUMIFS('Meter Log'!$C$4:$C$131,'Meter Log'!$B$4:$B$131,$A5,'Meter Log'!$A$4:$A$131,Dashboard!$C$3))</f>
        <v/>
      </c>
      <c r="D5" s="20">
        <f>IF($A5="","",SUMIFS('Meter Log'!$D$4:$D$131,'Meter Log'!$B$4:$B$131,$A5,'Meter Log'!$A$4:$A$131,Dashboard!$C$3))</f>
        <v/>
      </c>
      <c r="E5" s="36">
        <f>IF($A5="","",IFERROR($D5/$C5,""))</f>
        <v/>
      </c>
      <c r="F5" s="36">
        <f>IF($A5="","",IFERROR(INDEX(Register!$F$4:$F$23,MATCH($A5,Register!$A$4:$A$23,0)),""))</f>
        <v/>
      </c>
      <c r="G5" s="21">
        <f>IF($A5="","",IFERROR(($E5-$F5)/$F5,""))</f>
        <v/>
      </c>
      <c r="H5" s="20">
        <f>IF($A5="",0,IFERROR(($E5-$F5)*$C5,0))</f>
        <v/>
      </c>
      <c r="I5" s="20">
        <f>IF($A5="","",SUMIFS('Meter Log'!$D$4:$D$131,'Meter Log'!$B$4:$B$131,$A5,'Meter Log'!$A$4:$A$131,EDATE(Dashboard!$C$3,-1)))</f>
        <v/>
      </c>
      <c r="J5" s="21">
        <f>IF($A5="","",IFERROR($D5/$I5-1,""))</f>
        <v/>
      </c>
      <c r="K5" s="20">
        <f>IF($A5="","",SUMIFS('Meter Log'!$D$4:$D$131,'Meter Log'!$B$4:$B$131,$A5,'Meter Log'!$A$4:$A$131,"&gt;="&amp;DATE(YEAR(Dashboard!$C$3),1,1),'Meter Log'!$A$4:$A$131,"&lt;="&amp;Dashboard!$C$3))</f>
        <v/>
      </c>
      <c r="L5" s="20">
        <f>IF($A5="","",$D5*12)</f>
        <v/>
      </c>
      <c r="M5" s="20">
        <f>IF($A5="","",IFERROR(INDEX(Register!$H$4:$H$23,MATCH($A5,Register!$A$4:$A$23,0)),0))</f>
        <v/>
      </c>
      <c r="N5" s="20">
        <f>IF($A5="","",$K5+$D5*(12-MONTH(Dashboard!$C$3)))</f>
        <v/>
      </c>
      <c r="O5" s="20">
        <f>IF($A5="",0,IF(AND(ISNUMBER($M5),$M5&gt;0),MAX(0,$N5-$M5),0))</f>
        <v/>
      </c>
      <c r="P5" s="19">
        <f>IF($A5="","",INDEX(Register!$R$4:$R$23,MATCH($A5,Register!$A$4:$A$23,0)))</f>
        <v/>
      </c>
    </row>
    <row r="6">
      <c r="A6" s="19">
        <f>IF(Register!$A$6="","",Register!$A$6)</f>
        <v/>
      </c>
      <c r="B6" s="19">
        <f>IF($A6="","",INDEX(Register!$B$4:$B$23,MATCH($A6,Register!$A$4:$A$23,0)))</f>
        <v/>
      </c>
      <c r="C6" s="19">
        <f>IF($A6="","",SUMIFS('Meter Log'!$C$4:$C$131,'Meter Log'!$B$4:$B$131,$A6,'Meter Log'!$A$4:$A$131,Dashboard!$C$3))</f>
        <v/>
      </c>
      <c r="D6" s="20">
        <f>IF($A6="","",SUMIFS('Meter Log'!$D$4:$D$131,'Meter Log'!$B$4:$B$131,$A6,'Meter Log'!$A$4:$A$131,Dashboard!$C$3))</f>
        <v/>
      </c>
      <c r="E6" s="36">
        <f>IF($A6="","",IFERROR($D6/$C6,""))</f>
        <v/>
      </c>
      <c r="F6" s="36">
        <f>IF($A6="","",IFERROR(INDEX(Register!$F$4:$F$23,MATCH($A6,Register!$A$4:$A$23,0)),""))</f>
        <v/>
      </c>
      <c r="G6" s="21">
        <f>IF($A6="","",IFERROR(($E6-$F6)/$F6,""))</f>
        <v/>
      </c>
      <c r="H6" s="20">
        <f>IF($A6="",0,IFERROR(($E6-$F6)*$C6,0))</f>
        <v/>
      </c>
      <c r="I6" s="20">
        <f>IF($A6="","",SUMIFS('Meter Log'!$D$4:$D$131,'Meter Log'!$B$4:$B$131,$A6,'Meter Log'!$A$4:$A$131,EDATE(Dashboard!$C$3,-1)))</f>
        <v/>
      </c>
      <c r="J6" s="21">
        <f>IF($A6="","",IFERROR($D6/$I6-1,""))</f>
        <v/>
      </c>
      <c r="K6" s="20">
        <f>IF($A6="","",SUMIFS('Meter Log'!$D$4:$D$131,'Meter Log'!$B$4:$B$131,$A6,'Meter Log'!$A$4:$A$131,"&gt;="&amp;DATE(YEAR(Dashboard!$C$3),1,1),'Meter Log'!$A$4:$A$131,"&lt;="&amp;Dashboard!$C$3))</f>
        <v/>
      </c>
      <c r="L6" s="20">
        <f>IF($A6="","",$D6*12)</f>
        <v/>
      </c>
      <c r="M6" s="20">
        <f>IF($A6="","",IFERROR(INDEX(Register!$H$4:$H$23,MATCH($A6,Register!$A$4:$A$23,0)),0))</f>
        <v/>
      </c>
      <c r="N6" s="20">
        <f>IF($A6="","",$K6+$D6*(12-MONTH(Dashboard!$C$3)))</f>
        <v/>
      </c>
      <c r="O6" s="20">
        <f>IF($A6="",0,IF(AND(ISNUMBER($M6),$M6&gt;0),MAX(0,$N6-$M6),0))</f>
        <v/>
      </c>
      <c r="P6" s="19">
        <f>IF($A6="","",INDEX(Register!$R$4:$R$23,MATCH($A6,Register!$A$4:$A$23,0)))</f>
        <v/>
      </c>
    </row>
    <row r="7">
      <c r="A7" s="19">
        <f>IF(Register!$A$7="","",Register!$A$7)</f>
        <v/>
      </c>
      <c r="B7" s="19">
        <f>IF($A7="","",INDEX(Register!$B$4:$B$23,MATCH($A7,Register!$A$4:$A$23,0)))</f>
        <v/>
      </c>
      <c r="C7" s="19">
        <f>IF($A7="","",SUMIFS('Meter Log'!$C$4:$C$131,'Meter Log'!$B$4:$B$131,$A7,'Meter Log'!$A$4:$A$131,Dashboard!$C$3))</f>
        <v/>
      </c>
      <c r="D7" s="20">
        <f>IF($A7="","",SUMIFS('Meter Log'!$D$4:$D$131,'Meter Log'!$B$4:$B$131,$A7,'Meter Log'!$A$4:$A$131,Dashboard!$C$3))</f>
        <v/>
      </c>
      <c r="E7" s="36">
        <f>IF($A7="","",IFERROR($D7/$C7,""))</f>
        <v/>
      </c>
      <c r="F7" s="36">
        <f>IF($A7="","",IFERROR(INDEX(Register!$F$4:$F$23,MATCH($A7,Register!$A$4:$A$23,0)),""))</f>
        <v/>
      </c>
      <c r="G7" s="21">
        <f>IF($A7="","",IFERROR(($E7-$F7)/$F7,""))</f>
        <v/>
      </c>
      <c r="H7" s="20">
        <f>IF($A7="",0,IFERROR(($E7-$F7)*$C7,0))</f>
        <v/>
      </c>
      <c r="I7" s="20">
        <f>IF($A7="","",SUMIFS('Meter Log'!$D$4:$D$131,'Meter Log'!$B$4:$B$131,$A7,'Meter Log'!$A$4:$A$131,EDATE(Dashboard!$C$3,-1)))</f>
        <v/>
      </c>
      <c r="J7" s="21">
        <f>IF($A7="","",IFERROR($D7/$I7-1,""))</f>
        <v/>
      </c>
      <c r="K7" s="20">
        <f>IF($A7="","",SUMIFS('Meter Log'!$D$4:$D$131,'Meter Log'!$B$4:$B$131,$A7,'Meter Log'!$A$4:$A$131,"&gt;="&amp;DATE(YEAR(Dashboard!$C$3),1,1),'Meter Log'!$A$4:$A$131,"&lt;="&amp;Dashboard!$C$3))</f>
        <v/>
      </c>
      <c r="L7" s="20">
        <f>IF($A7="","",$D7*12)</f>
        <v/>
      </c>
      <c r="M7" s="20">
        <f>IF($A7="","",IFERROR(INDEX(Register!$H$4:$H$23,MATCH($A7,Register!$A$4:$A$23,0)),0))</f>
        <v/>
      </c>
      <c r="N7" s="20">
        <f>IF($A7="","",$K7+$D7*(12-MONTH(Dashboard!$C$3)))</f>
        <v/>
      </c>
      <c r="O7" s="20">
        <f>IF($A7="",0,IF(AND(ISNUMBER($M7),$M7&gt;0),MAX(0,$N7-$M7),0))</f>
        <v/>
      </c>
      <c r="P7" s="19">
        <f>IF($A7="","",INDEX(Register!$R$4:$R$23,MATCH($A7,Register!$A$4:$A$23,0)))</f>
        <v/>
      </c>
    </row>
    <row r="8">
      <c r="A8" s="19">
        <f>IF(Register!$A$8="","",Register!$A$8)</f>
        <v/>
      </c>
      <c r="B8" s="19">
        <f>IF($A8="","",INDEX(Register!$B$4:$B$23,MATCH($A8,Register!$A$4:$A$23,0)))</f>
        <v/>
      </c>
      <c r="C8" s="19">
        <f>IF($A8="","",SUMIFS('Meter Log'!$C$4:$C$131,'Meter Log'!$B$4:$B$131,$A8,'Meter Log'!$A$4:$A$131,Dashboard!$C$3))</f>
        <v/>
      </c>
      <c r="D8" s="20">
        <f>IF($A8="","",SUMIFS('Meter Log'!$D$4:$D$131,'Meter Log'!$B$4:$B$131,$A8,'Meter Log'!$A$4:$A$131,Dashboard!$C$3))</f>
        <v/>
      </c>
      <c r="E8" s="36">
        <f>IF($A8="","",IFERROR($D8/$C8,""))</f>
        <v/>
      </c>
      <c r="F8" s="36">
        <f>IF($A8="","",IFERROR(INDEX(Register!$F$4:$F$23,MATCH($A8,Register!$A$4:$A$23,0)),""))</f>
        <v/>
      </c>
      <c r="G8" s="21">
        <f>IF($A8="","",IFERROR(($E8-$F8)/$F8,""))</f>
        <v/>
      </c>
      <c r="H8" s="20">
        <f>IF($A8="",0,IFERROR(($E8-$F8)*$C8,0))</f>
        <v/>
      </c>
      <c r="I8" s="20">
        <f>IF($A8="","",SUMIFS('Meter Log'!$D$4:$D$131,'Meter Log'!$B$4:$B$131,$A8,'Meter Log'!$A$4:$A$131,EDATE(Dashboard!$C$3,-1)))</f>
        <v/>
      </c>
      <c r="J8" s="21">
        <f>IF($A8="","",IFERROR($D8/$I8-1,""))</f>
        <v/>
      </c>
      <c r="K8" s="20">
        <f>IF($A8="","",SUMIFS('Meter Log'!$D$4:$D$131,'Meter Log'!$B$4:$B$131,$A8,'Meter Log'!$A$4:$A$131,"&gt;="&amp;DATE(YEAR(Dashboard!$C$3),1,1),'Meter Log'!$A$4:$A$131,"&lt;="&amp;Dashboard!$C$3))</f>
        <v/>
      </c>
      <c r="L8" s="20">
        <f>IF($A8="","",$D8*12)</f>
        <v/>
      </c>
      <c r="M8" s="20">
        <f>IF($A8="","",IFERROR(INDEX(Register!$H$4:$H$23,MATCH($A8,Register!$A$4:$A$23,0)),0))</f>
        <v/>
      </c>
      <c r="N8" s="20">
        <f>IF($A8="","",$K8+$D8*(12-MONTH(Dashboard!$C$3)))</f>
        <v/>
      </c>
      <c r="O8" s="20">
        <f>IF($A8="",0,IF(AND(ISNUMBER($M8),$M8&gt;0),MAX(0,$N8-$M8),0))</f>
        <v/>
      </c>
      <c r="P8" s="19">
        <f>IF($A8="","",INDEX(Register!$R$4:$R$23,MATCH($A8,Register!$A$4:$A$23,0)))</f>
        <v/>
      </c>
    </row>
    <row r="9">
      <c r="A9" s="19">
        <f>IF(Register!$A$9="","",Register!$A$9)</f>
        <v/>
      </c>
      <c r="B9" s="19">
        <f>IF($A9="","",INDEX(Register!$B$4:$B$23,MATCH($A9,Register!$A$4:$A$23,0)))</f>
        <v/>
      </c>
      <c r="C9" s="19">
        <f>IF($A9="","",SUMIFS('Meter Log'!$C$4:$C$131,'Meter Log'!$B$4:$B$131,$A9,'Meter Log'!$A$4:$A$131,Dashboard!$C$3))</f>
        <v/>
      </c>
      <c r="D9" s="20">
        <f>IF($A9="","",SUMIFS('Meter Log'!$D$4:$D$131,'Meter Log'!$B$4:$B$131,$A9,'Meter Log'!$A$4:$A$131,Dashboard!$C$3))</f>
        <v/>
      </c>
      <c r="E9" s="36">
        <f>IF($A9="","",IFERROR($D9/$C9,""))</f>
        <v/>
      </c>
      <c r="F9" s="36">
        <f>IF($A9="","",IFERROR(INDEX(Register!$F$4:$F$23,MATCH($A9,Register!$A$4:$A$23,0)),""))</f>
        <v/>
      </c>
      <c r="G9" s="21">
        <f>IF($A9="","",IFERROR(($E9-$F9)/$F9,""))</f>
        <v/>
      </c>
      <c r="H9" s="20">
        <f>IF($A9="",0,IFERROR(($E9-$F9)*$C9,0))</f>
        <v/>
      </c>
      <c r="I9" s="20">
        <f>IF($A9="","",SUMIFS('Meter Log'!$D$4:$D$131,'Meter Log'!$B$4:$B$131,$A9,'Meter Log'!$A$4:$A$131,EDATE(Dashboard!$C$3,-1)))</f>
        <v/>
      </c>
      <c r="J9" s="21">
        <f>IF($A9="","",IFERROR($D9/$I9-1,""))</f>
        <v/>
      </c>
      <c r="K9" s="20">
        <f>IF($A9="","",SUMIFS('Meter Log'!$D$4:$D$131,'Meter Log'!$B$4:$B$131,$A9,'Meter Log'!$A$4:$A$131,"&gt;="&amp;DATE(YEAR(Dashboard!$C$3),1,1),'Meter Log'!$A$4:$A$131,"&lt;="&amp;Dashboard!$C$3))</f>
        <v/>
      </c>
      <c r="L9" s="20">
        <f>IF($A9="","",$D9*12)</f>
        <v/>
      </c>
      <c r="M9" s="20">
        <f>IF($A9="","",IFERROR(INDEX(Register!$H$4:$H$23,MATCH($A9,Register!$A$4:$A$23,0)),0))</f>
        <v/>
      </c>
      <c r="N9" s="20">
        <f>IF($A9="","",$K9+$D9*(12-MONTH(Dashboard!$C$3)))</f>
        <v/>
      </c>
      <c r="O9" s="20">
        <f>IF($A9="",0,IF(AND(ISNUMBER($M9),$M9&gt;0),MAX(0,$N9-$M9),0))</f>
        <v/>
      </c>
      <c r="P9" s="19">
        <f>IF($A9="","",INDEX(Register!$R$4:$R$23,MATCH($A9,Register!$A$4:$A$23,0)))</f>
        <v/>
      </c>
    </row>
    <row r="10">
      <c r="A10" s="19">
        <f>IF(Register!$A$10="","",Register!$A$10)</f>
        <v/>
      </c>
      <c r="B10" s="19">
        <f>IF($A10="","",INDEX(Register!$B$4:$B$23,MATCH($A10,Register!$A$4:$A$23,0)))</f>
        <v/>
      </c>
      <c r="C10" s="19">
        <f>IF($A10="","",SUMIFS('Meter Log'!$C$4:$C$131,'Meter Log'!$B$4:$B$131,$A10,'Meter Log'!$A$4:$A$131,Dashboard!$C$3))</f>
        <v/>
      </c>
      <c r="D10" s="20">
        <f>IF($A10="","",SUMIFS('Meter Log'!$D$4:$D$131,'Meter Log'!$B$4:$B$131,$A10,'Meter Log'!$A$4:$A$131,Dashboard!$C$3))</f>
        <v/>
      </c>
      <c r="E10" s="36">
        <f>IF($A10="","",IFERROR($D10/$C10,""))</f>
        <v/>
      </c>
      <c r="F10" s="36">
        <f>IF($A10="","",IFERROR(INDEX(Register!$F$4:$F$23,MATCH($A10,Register!$A$4:$A$23,0)),""))</f>
        <v/>
      </c>
      <c r="G10" s="21">
        <f>IF($A10="","",IFERROR(($E10-$F10)/$F10,""))</f>
        <v/>
      </c>
      <c r="H10" s="20">
        <f>IF($A10="",0,IFERROR(($E10-$F10)*$C10,0))</f>
        <v/>
      </c>
      <c r="I10" s="20">
        <f>IF($A10="","",SUMIFS('Meter Log'!$D$4:$D$131,'Meter Log'!$B$4:$B$131,$A10,'Meter Log'!$A$4:$A$131,EDATE(Dashboard!$C$3,-1)))</f>
        <v/>
      </c>
      <c r="J10" s="21">
        <f>IF($A10="","",IFERROR($D10/$I10-1,""))</f>
        <v/>
      </c>
      <c r="K10" s="20">
        <f>IF($A10="","",SUMIFS('Meter Log'!$D$4:$D$131,'Meter Log'!$B$4:$B$131,$A10,'Meter Log'!$A$4:$A$131,"&gt;="&amp;DATE(YEAR(Dashboard!$C$3),1,1),'Meter Log'!$A$4:$A$131,"&lt;="&amp;Dashboard!$C$3))</f>
        <v/>
      </c>
      <c r="L10" s="20">
        <f>IF($A10="","",$D10*12)</f>
        <v/>
      </c>
      <c r="M10" s="20">
        <f>IF($A10="","",IFERROR(INDEX(Register!$H$4:$H$23,MATCH($A10,Register!$A$4:$A$23,0)),0))</f>
        <v/>
      </c>
      <c r="N10" s="20">
        <f>IF($A10="","",$K10+$D10*(12-MONTH(Dashboard!$C$3)))</f>
        <v/>
      </c>
      <c r="O10" s="20">
        <f>IF($A10="",0,IF(AND(ISNUMBER($M10),$M10&gt;0),MAX(0,$N10-$M10),0))</f>
        <v/>
      </c>
      <c r="P10" s="19">
        <f>IF($A10="","",INDEX(Register!$R$4:$R$23,MATCH($A10,Register!$A$4:$A$23,0)))</f>
        <v/>
      </c>
    </row>
    <row r="11">
      <c r="A11" s="19">
        <f>IF(Register!$A$11="","",Register!$A$11)</f>
        <v/>
      </c>
      <c r="B11" s="19">
        <f>IF($A11="","",INDEX(Register!$B$4:$B$23,MATCH($A11,Register!$A$4:$A$23,0)))</f>
        <v/>
      </c>
      <c r="C11" s="19">
        <f>IF($A11="","",SUMIFS('Meter Log'!$C$4:$C$131,'Meter Log'!$B$4:$B$131,$A11,'Meter Log'!$A$4:$A$131,Dashboard!$C$3))</f>
        <v/>
      </c>
      <c r="D11" s="20">
        <f>IF($A11="","",SUMIFS('Meter Log'!$D$4:$D$131,'Meter Log'!$B$4:$B$131,$A11,'Meter Log'!$A$4:$A$131,Dashboard!$C$3))</f>
        <v/>
      </c>
      <c r="E11" s="36">
        <f>IF($A11="","",IFERROR($D11/$C11,""))</f>
        <v/>
      </c>
      <c r="F11" s="36">
        <f>IF($A11="","",IFERROR(INDEX(Register!$F$4:$F$23,MATCH($A11,Register!$A$4:$A$23,0)),""))</f>
        <v/>
      </c>
      <c r="G11" s="21">
        <f>IF($A11="","",IFERROR(($E11-$F11)/$F11,""))</f>
        <v/>
      </c>
      <c r="H11" s="20">
        <f>IF($A11="",0,IFERROR(($E11-$F11)*$C11,0))</f>
        <v/>
      </c>
      <c r="I11" s="20">
        <f>IF($A11="","",SUMIFS('Meter Log'!$D$4:$D$131,'Meter Log'!$B$4:$B$131,$A11,'Meter Log'!$A$4:$A$131,EDATE(Dashboard!$C$3,-1)))</f>
        <v/>
      </c>
      <c r="J11" s="21">
        <f>IF($A11="","",IFERROR($D11/$I11-1,""))</f>
        <v/>
      </c>
      <c r="K11" s="20">
        <f>IF($A11="","",SUMIFS('Meter Log'!$D$4:$D$131,'Meter Log'!$B$4:$B$131,$A11,'Meter Log'!$A$4:$A$131,"&gt;="&amp;DATE(YEAR(Dashboard!$C$3),1,1),'Meter Log'!$A$4:$A$131,"&lt;="&amp;Dashboard!$C$3))</f>
        <v/>
      </c>
      <c r="L11" s="20">
        <f>IF($A11="","",$D11*12)</f>
        <v/>
      </c>
      <c r="M11" s="20">
        <f>IF($A11="","",IFERROR(INDEX(Register!$H$4:$H$23,MATCH($A11,Register!$A$4:$A$23,0)),0))</f>
        <v/>
      </c>
      <c r="N11" s="20">
        <f>IF($A11="","",$K11+$D11*(12-MONTH(Dashboard!$C$3)))</f>
        <v/>
      </c>
      <c r="O11" s="20">
        <f>IF($A11="",0,IF(AND(ISNUMBER($M11),$M11&gt;0),MAX(0,$N11-$M11),0))</f>
        <v/>
      </c>
      <c r="P11" s="19">
        <f>IF($A11="","",INDEX(Register!$R$4:$R$23,MATCH($A11,Register!$A$4:$A$23,0)))</f>
        <v/>
      </c>
    </row>
    <row r="12">
      <c r="A12" s="19">
        <f>IF(Register!$A$12="","",Register!$A$12)</f>
        <v/>
      </c>
      <c r="B12" s="19">
        <f>IF($A12="","",INDEX(Register!$B$4:$B$23,MATCH($A12,Register!$A$4:$A$23,0)))</f>
        <v/>
      </c>
      <c r="C12" s="19">
        <f>IF($A12="","",SUMIFS('Meter Log'!$C$4:$C$131,'Meter Log'!$B$4:$B$131,$A12,'Meter Log'!$A$4:$A$131,Dashboard!$C$3))</f>
        <v/>
      </c>
      <c r="D12" s="20">
        <f>IF($A12="","",SUMIFS('Meter Log'!$D$4:$D$131,'Meter Log'!$B$4:$B$131,$A12,'Meter Log'!$A$4:$A$131,Dashboard!$C$3))</f>
        <v/>
      </c>
      <c r="E12" s="36">
        <f>IF($A12="","",IFERROR($D12/$C12,""))</f>
        <v/>
      </c>
      <c r="F12" s="36">
        <f>IF($A12="","",IFERROR(INDEX(Register!$F$4:$F$23,MATCH($A12,Register!$A$4:$A$23,0)),""))</f>
        <v/>
      </c>
      <c r="G12" s="21">
        <f>IF($A12="","",IFERROR(($E12-$F12)/$F12,""))</f>
        <v/>
      </c>
      <c r="H12" s="20">
        <f>IF($A12="",0,IFERROR(($E12-$F12)*$C12,0))</f>
        <v/>
      </c>
      <c r="I12" s="20">
        <f>IF($A12="","",SUMIFS('Meter Log'!$D$4:$D$131,'Meter Log'!$B$4:$B$131,$A12,'Meter Log'!$A$4:$A$131,EDATE(Dashboard!$C$3,-1)))</f>
        <v/>
      </c>
      <c r="J12" s="21">
        <f>IF($A12="","",IFERROR($D12/$I12-1,""))</f>
        <v/>
      </c>
      <c r="K12" s="20">
        <f>IF($A12="","",SUMIFS('Meter Log'!$D$4:$D$131,'Meter Log'!$B$4:$B$131,$A12,'Meter Log'!$A$4:$A$131,"&gt;="&amp;DATE(YEAR(Dashboard!$C$3),1,1),'Meter Log'!$A$4:$A$131,"&lt;="&amp;Dashboard!$C$3))</f>
        <v/>
      </c>
      <c r="L12" s="20">
        <f>IF($A12="","",$D12*12)</f>
        <v/>
      </c>
      <c r="M12" s="20">
        <f>IF($A12="","",IFERROR(INDEX(Register!$H$4:$H$23,MATCH($A12,Register!$A$4:$A$23,0)),0))</f>
        <v/>
      </c>
      <c r="N12" s="20">
        <f>IF($A12="","",$K12+$D12*(12-MONTH(Dashboard!$C$3)))</f>
        <v/>
      </c>
      <c r="O12" s="20">
        <f>IF($A12="",0,IF(AND(ISNUMBER($M12),$M12&gt;0),MAX(0,$N12-$M12),0))</f>
        <v/>
      </c>
      <c r="P12" s="19">
        <f>IF($A12="","",INDEX(Register!$R$4:$R$23,MATCH($A12,Register!$A$4:$A$23,0)))</f>
        <v/>
      </c>
    </row>
    <row r="13">
      <c r="A13" s="19">
        <f>IF(Register!$A$13="","",Register!$A$13)</f>
        <v/>
      </c>
      <c r="B13" s="19">
        <f>IF($A13="","",INDEX(Register!$B$4:$B$23,MATCH($A13,Register!$A$4:$A$23,0)))</f>
        <v/>
      </c>
      <c r="C13" s="19">
        <f>IF($A13="","",SUMIFS('Meter Log'!$C$4:$C$131,'Meter Log'!$B$4:$B$131,$A13,'Meter Log'!$A$4:$A$131,Dashboard!$C$3))</f>
        <v/>
      </c>
      <c r="D13" s="20">
        <f>IF($A13="","",SUMIFS('Meter Log'!$D$4:$D$131,'Meter Log'!$B$4:$B$131,$A13,'Meter Log'!$A$4:$A$131,Dashboard!$C$3))</f>
        <v/>
      </c>
      <c r="E13" s="36">
        <f>IF($A13="","",IFERROR($D13/$C13,""))</f>
        <v/>
      </c>
      <c r="F13" s="36">
        <f>IF($A13="","",IFERROR(INDEX(Register!$F$4:$F$23,MATCH($A13,Register!$A$4:$A$23,0)),""))</f>
        <v/>
      </c>
      <c r="G13" s="21">
        <f>IF($A13="","",IFERROR(($E13-$F13)/$F13,""))</f>
        <v/>
      </c>
      <c r="H13" s="20">
        <f>IF($A13="",0,IFERROR(($E13-$F13)*$C13,0))</f>
        <v/>
      </c>
      <c r="I13" s="20">
        <f>IF($A13="","",SUMIFS('Meter Log'!$D$4:$D$131,'Meter Log'!$B$4:$B$131,$A13,'Meter Log'!$A$4:$A$131,EDATE(Dashboard!$C$3,-1)))</f>
        <v/>
      </c>
      <c r="J13" s="21">
        <f>IF($A13="","",IFERROR($D13/$I13-1,""))</f>
        <v/>
      </c>
      <c r="K13" s="20">
        <f>IF($A13="","",SUMIFS('Meter Log'!$D$4:$D$131,'Meter Log'!$B$4:$B$131,$A13,'Meter Log'!$A$4:$A$131,"&gt;="&amp;DATE(YEAR(Dashboard!$C$3),1,1),'Meter Log'!$A$4:$A$131,"&lt;="&amp;Dashboard!$C$3))</f>
        <v/>
      </c>
      <c r="L13" s="20">
        <f>IF($A13="","",$D13*12)</f>
        <v/>
      </c>
      <c r="M13" s="20">
        <f>IF($A13="","",IFERROR(INDEX(Register!$H$4:$H$23,MATCH($A13,Register!$A$4:$A$23,0)),0))</f>
        <v/>
      </c>
      <c r="N13" s="20">
        <f>IF($A13="","",$K13+$D13*(12-MONTH(Dashboard!$C$3)))</f>
        <v/>
      </c>
      <c r="O13" s="20">
        <f>IF($A13="",0,IF(AND(ISNUMBER($M13),$M13&gt;0),MAX(0,$N13-$M13),0))</f>
        <v/>
      </c>
      <c r="P13" s="19">
        <f>IF($A13="","",INDEX(Register!$R$4:$R$23,MATCH($A13,Register!$A$4:$A$23,0)))</f>
        <v/>
      </c>
    </row>
    <row r="14">
      <c r="A14" s="19">
        <f>IF(Register!$A$14="","",Register!$A$14)</f>
        <v/>
      </c>
      <c r="B14" s="19">
        <f>IF($A14="","",INDEX(Register!$B$4:$B$23,MATCH($A14,Register!$A$4:$A$23,0)))</f>
        <v/>
      </c>
      <c r="C14" s="19">
        <f>IF($A14="","",SUMIFS('Meter Log'!$C$4:$C$131,'Meter Log'!$B$4:$B$131,$A14,'Meter Log'!$A$4:$A$131,Dashboard!$C$3))</f>
        <v/>
      </c>
      <c r="D14" s="20">
        <f>IF($A14="","",SUMIFS('Meter Log'!$D$4:$D$131,'Meter Log'!$B$4:$B$131,$A14,'Meter Log'!$A$4:$A$131,Dashboard!$C$3))</f>
        <v/>
      </c>
      <c r="E14" s="36">
        <f>IF($A14="","",IFERROR($D14/$C14,""))</f>
        <v/>
      </c>
      <c r="F14" s="36">
        <f>IF($A14="","",IFERROR(INDEX(Register!$F$4:$F$23,MATCH($A14,Register!$A$4:$A$23,0)),""))</f>
        <v/>
      </c>
      <c r="G14" s="21">
        <f>IF($A14="","",IFERROR(($E14-$F14)/$F14,""))</f>
        <v/>
      </c>
      <c r="H14" s="20">
        <f>IF($A14="",0,IFERROR(($E14-$F14)*$C14,0))</f>
        <v/>
      </c>
      <c r="I14" s="20">
        <f>IF($A14="","",SUMIFS('Meter Log'!$D$4:$D$131,'Meter Log'!$B$4:$B$131,$A14,'Meter Log'!$A$4:$A$131,EDATE(Dashboard!$C$3,-1)))</f>
        <v/>
      </c>
      <c r="J14" s="21">
        <f>IF($A14="","",IFERROR($D14/$I14-1,""))</f>
        <v/>
      </c>
      <c r="K14" s="20">
        <f>IF($A14="","",SUMIFS('Meter Log'!$D$4:$D$131,'Meter Log'!$B$4:$B$131,$A14,'Meter Log'!$A$4:$A$131,"&gt;="&amp;DATE(YEAR(Dashboard!$C$3),1,1),'Meter Log'!$A$4:$A$131,"&lt;="&amp;Dashboard!$C$3))</f>
        <v/>
      </c>
      <c r="L14" s="20">
        <f>IF($A14="","",$D14*12)</f>
        <v/>
      </c>
      <c r="M14" s="20">
        <f>IF($A14="","",IFERROR(INDEX(Register!$H$4:$H$23,MATCH($A14,Register!$A$4:$A$23,0)),0))</f>
        <v/>
      </c>
      <c r="N14" s="20">
        <f>IF($A14="","",$K14+$D14*(12-MONTH(Dashboard!$C$3)))</f>
        <v/>
      </c>
      <c r="O14" s="20">
        <f>IF($A14="",0,IF(AND(ISNUMBER($M14),$M14&gt;0),MAX(0,$N14-$M14),0))</f>
        <v/>
      </c>
      <c r="P14" s="19">
        <f>IF($A14="","",INDEX(Register!$R$4:$R$23,MATCH($A14,Register!$A$4:$A$23,0)))</f>
        <v/>
      </c>
    </row>
    <row r="15">
      <c r="A15" s="19">
        <f>IF(Register!$A$15="","",Register!$A$15)</f>
        <v/>
      </c>
      <c r="B15" s="19">
        <f>IF($A15="","",INDEX(Register!$B$4:$B$23,MATCH($A15,Register!$A$4:$A$23,0)))</f>
        <v/>
      </c>
      <c r="C15" s="19">
        <f>IF($A15="","",SUMIFS('Meter Log'!$C$4:$C$131,'Meter Log'!$B$4:$B$131,$A15,'Meter Log'!$A$4:$A$131,Dashboard!$C$3))</f>
        <v/>
      </c>
      <c r="D15" s="20">
        <f>IF($A15="","",SUMIFS('Meter Log'!$D$4:$D$131,'Meter Log'!$B$4:$B$131,$A15,'Meter Log'!$A$4:$A$131,Dashboard!$C$3))</f>
        <v/>
      </c>
      <c r="E15" s="36">
        <f>IF($A15="","",IFERROR($D15/$C15,""))</f>
        <v/>
      </c>
      <c r="F15" s="36">
        <f>IF($A15="","",IFERROR(INDEX(Register!$F$4:$F$23,MATCH($A15,Register!$A$4:$A$23,0)),""))</f>
        <v/>
      </c>
      <c r="G15" s="21">
        <f>IF($A15="","",IFERROR(($E15-$F15)/$F15,""))</f>
        <v/>
      </c>
      <c r="H15" s="20">
        <f>IF($A15="",0,IFERROR(($E15-$F15)*$C15,0))</f>
        <v/>
      </c>
      <c r="I15" s="20">
        <f>IF($A15="","",SUMIFS('Meter Log'!$D$4:$D$131,'Meter Log'!$B$4:$B$131,$A15,'Meter Log'!$A$4:$A$131,EDATE(Dashboard!$C$3,-1)))</f>
        <v/>
      </c>
      <c r="J15" s="21">
        <f>IF($A15="","",IFERROR($D15/$I15-1,""))</f>
        <v/>
      </c>
      <c r="K15" s="20">
        <f>IF($A15="","",SUMIFS('Meter Log'!$D$4:$D$131,'Meter Log'!$B$4:$B$131,$A15,'Meter Log'!$A$4:$A$131,"&gt;="&amp;DATE(YEAR(Dashboard!$C$3),1,1),'Meter Log'!$A$4:$A$131,"&lt;="&amp;Dashboard!$C$3))</f>
        <v/>
      </c>
      <c r="L15" s="20">
        <f>IF($A15="","",$D15*12)</f>
        <v/>
      </c>
      <c r="M15" s="20">
        <f>IF($A15="","",IFERROR(INDEX(Register!$H$4:$H$23,MATCH($A15,Register!$A$4:$A$23,0)),0))</f>
        <v/>
      </c>
      <c r="N15" s="20">
        <f>IF($A15="","",$K15+$D15*(12-MONTH(Dashboard!$C$3)))</f>
        <v/>
      </c>
      <c r="O15" s="20">
        <f>IF($A15="",0,IF(AND(ISNUMBER($M15),$M15&gt;0),MAX(0,$N15-$M15),0))</f>
        <v/>
      </c>
      <c r="P15" s="19">
        <f>IF($A15="","",INDEX(Register!$R$4:$R$23,MATCH($A15,Register!$A$4:$A$23,0)))</f>
        <v/>
      </c>
    </row>
    <row r="16">
      <c r="A16" s="19">
        <f>IF(Register!$A$16="","",Register!$A$16)</f>
        <v/>
      </c>
      <c r="B16" s="19">
        <f>IF($A16="","",INDEX(Register!$B$4:$B$23,MATCH($A16,Register!$A$4:$A$23,0)))</f>
        <v/>
      </c>
      <c r="C16" s="19">
        <f>IF($A16="","",SUMIFS('Meter Log'!$C$4:$C$131,'Meter Log'!$B$4:$B$131,$A16,'Meter Log'!$A$4:$A$131,Dashboard!$C$3))</f>
        <v/>
      </c>
      <c r="D16" s="20">
        <f>IF($A16="","",SUMIFS('Meter Log'!$D$4:$D$131,'Meter Log'!$B$4:$B$131,$A16,'Meter Log'!$A$4:$A$131,Dashboard!$C$3))</f>
        <v/>
      </c>
      <c r="E16" s="36">
        <f>IF($A16="","",IFERROR($D16/$C16,""))</f>
        <v/>
      </c>
      <c r="F16" s="36">
        <f>IF($A16="","",IFERROR(INDEX(Register!$F$4:$F$23,MATCH($A16,Register!$A$4:$A$23,0)),""))</f>
        <v/>
      </c>
      <c r="G16" s="21">
        <f>IF($A16="","",IFERROR(($E16-$F16)/$F16,""))</f>
        <v/>
      </c>
      <c r="H16" s="20">
        <f>IF($A16="",0,IFERROR(($E16-$F16)*$C16,0))</f>
        <v/>
      </c>
      <c r="I16" s="20">
        <f>IF($A16="","",SUMIFS('Meter Log'!$D$4:$D$131,'Meter Log'!$B$4:$B$131,$A16,'Meter Log'!$A$4:$A$131,EDATE(Dashboard!$C$3,-1)))</f>
        <v/>
      </c>
      <c r="J16" s="21">
        <f>IF($A16="","",IFERROR($D16/$I16-1,""))</f>
        <v/>
      </c>
      <c r="K16" s="20">
        <f>IF($A16="","",SUMIFS('Meter Log'!$D$4:$D$131,'Meter Log'!$B$4:$B$131,$A16,'Meter Log'!$A$4:$A$131,"&gt;="&amp;DATE(YEAR(Dashboard!$C$3),1,1),'Meter Log'!$A$4:$A$131,"&lt;="&amp;Dashboard!$C$3))</f>
        <v/>
      </c>
      <c r="L16" s="20">
        <f>IF($A16="","",$D16*12)</f>
        <v/>
      </c>
      <c r="M16" s="20">
        <f>IF($A16="","",IFERROR(INDEX(Register!$H$4:$H$23,MATCH($A16,Register!$A$4:$A$23,0)),0))</f>
        <v/>
      </c>
      <c r="N16" s="20">
        <f>IF($A16="","",$K16+$D16*(12-MONTH(Dashboard!$C$3)))</f>
        <v/>
      </c>
      <c r="O16" s="20">
        <f>IF($A16="",0,IF(AND(ISNUMBER($M16),$M16&gt;0),MAX(0,$N16-$M16),0))</f>
        <v/>
      </c>
      <c r="P16" s="19">
        <f>IF($A16="","",INDEX(Register!$R$4:$R$23,MATCH($A16,Register!$A$4:$A$23,0)))</f>
        <v/>
      </c>
    </row>
    <row r="17">
      <c r="A17" s="19">
        <f>IF(Register!$A$17="","",Register!$A$17)</f>
        <v/>
      </c>
      <c r="B17" s="19">
        <f>IF($A17="","",INDEX(Register!$B$4:$B$23,MATCH($A17,Register!$A$4:$A$23,0)))</f>
        <v/>
      </c>
      <c r="C17" s="19">
        <f>IF($A17="","",SUMIFS('Meter Log'!$C$4:$C$131,'Meter Log'!$B$4:$B$131,$A17,'Meter Log'!$A$4:$A$131,Dashboard!$C$3))</f>
        <v/>
      </c>
      <c r="D17" s="20">
        <f>IF($A17="","",SUMIFS('Meter Log'!$D$4:$D$131,'Meter Log'!$B$4:$B$131,$A17,'Meter Log'!$A$4:$A$131,Dashboard!$C$3))</f>
        <v/>
      </c>
      <c r="E17" s="36">
        <f>IF($A17="","",IFERROR($D17/$C17,""))</f>
        <v/>
      </c>
      <c r="F17" s="36">
        <f>IF($A17="","",IFERROR(INDEX(Register!$F$4:$F$23,MATCH($A17,Register!$A$4:$A$23,0)),""))</f>
        <v/>
      </c>
      <c r="G17" s="21">
        <f>IF($A17="","",IFERROR(($E17-$F17)/$F17,""))</f>
        <v/>
      </c>
      <c r="H17" s="20">
        <f>IF($A17="",0,IFERROR(($E17-$F17)*$C17,0))</f>
        <v/>
      </c>
      <c r="I17" s="20">
        <f>IF($A17="","",SUMIFS('Meter Log'!$D$4:$D$131,'Meter Log'!$B$4:$B$131,$A17,'Meter Log'!$A$4:$A$131,EDATE(Dashboard!$C$3,-1)))</f>
        <v/>
      </c>
      <c r="J17" s="21">
        <f>IF($A17="","",IFERROR($D17/$I17-1,""))</f>
        <v/>
      </c>
      <c r="K17" s="20">
        <f>IF($A17="","",SUMIFS('Meter Log'!$D$4:$D$131,'Meter Log'!$B$4:$B$131,$A17,'Meter Log'!$A$4:$A$131,"&gt;="&amp;DATE(YEAR(Dashboard!$C$3),1,1),'Meter Log'!$A$4:$A$131,"&lt;="&amp;Dashboard!$C$3))</f>
        <v/>
      </c>
      <c r="L17" s="20">
        <f>IF($A17="","",$D17*12)</f>
        <v/>
      </c>
      <c r="M17" s="20">
        <f>IF($A17="","",IFERROR(INDEX(Register!$H$4:$H$23,MATCH($A17,Register!$A$4:$A$23,0)),0))</f>
        <v/>
      </c>
      <c r="N17" s="20">
        <f>IF($A17="","",$K17+$D17*(12-MONTH(Dashboard!$C$3)))</f>
        <v/>
      </c>
      <c r="O17" s="20">
        <f>IF($A17="",0,IF(AND(ISNUMBER($M17),$M17&gt;0),MAX(0,$N17-$M17),0))</f>
        <v/>
      </c>
      <c r="P17" s="19">
        <f>IF($A17="","",INDEX(Register!$R$4:$R$23,MATCH($A17,Register!$A$4:$A$23,0)))</f>
        <v/>
      </c>
    </row>
    <row r="18">
      <c r="A18" s="19">
        <f>IF(Register!$A$18="","",Register!$A$18)</f>
        <v/>
      </c>
      <c r="B18" s="19">
        <f>IF($A18="","",INDEX(Register!$B$4:$B$23,MATCH($A18,Register!$A$4:$A$23,0)))</f>
        <v/>
      </c>
      <c r="C18" s="19">
        <f>IF($A18="","",SUMIFS('Meter Log'!$C$4:$C$131,'Meter Log'!$B$4:$B$131,$A18,'Meter Log'!$A$4:$A$131,Dashboard!$C$3))</f>
        <v/>
      </c>
      <c r="D18" s="20">
        <f>IF($A18="","",SUMIFS('Meter Log'!$D$4:$D$131,'Meter Log'!$B$4:$B$131,$A18,'Meter Log'!$A$4:$A$131,Dashboard!$C$3))</f>
        <v/>
      </c>
      <c r="E18" s="36">
        <f>IF($A18="","",IFERROR($D18/$C18,""))</f>
        <v/>
      </c>
      <c r="F18" s="36">
        <f>IF($A18="","",IFERROR(INDEX(Register!$F$4:$F$23,MATCH($A18,Register!$A$4:$A$23,0)),""))</f>
        <v/>
      </c>
      <c r="G18" s="21">
        <f>IF($A18="","",IFERROR(($E18-$F18)/$F18,""))</f>
        <v/>
      </c>
      <c r="H18" s="20">
        <f>IF($A18="",0,IFERROR(($E18-$F18)*$C18,0))</f>
        <v/>
      </c>
      <c r="I18" s="20">
        <f>IF($A18="","",SUMIFS('Meter Log'!$D$4:$D$131,'Meter Log'!$B$4:$B$131,$A18,'Meter Log'!$A$4:$A$131,EDATE(Dashboard!$C$3,-1)))</f>
        <v/>
      </c>
      <c r="J18" s="21">
        <f>IF($A18="","",IFERROR($D18/$I18-1,""))</f>
        <v/>
      </c>
      <c r="K18" s="20">
        <f>IF($A18="","",SUMIFS('Meter Log'!$D$4:$D$131,'Meter Log'!$B$4:$B$131,$A18,'Meter Log'!$A$4:$A$131,"&gt;="&amp;DATE(YEAR(Dashboard!$C$3),1,1),'Meter Log'!$A$4:$A$131,"&lt;="&amp;Dashboard!$C$3))</f>
        <v/>
      </c>
      <c r="L18" s="20">
        <f>IF($A18="","",$D18*12)</f>
        <v/>
      </c>
      <c r="M18" s="20">
        <f>IF($A18="","",IFERROR(INDEX(Register!$H$4:$H$23,MATCH($A18,Register!$A$4:$A$23,0)),0))</f>
        <v/>
      </c>
      <c r="N18" s="20">
        <f>IF($A18="","",$K18+$D18*(12-MONTH(Dashboard!$C$3)))</f>
        <v/>
      </c>
      <c r="O18" s="20">
        <f>IF($A18="",0,IF(AND(ISNUMBER($M18),$M18&gt;0),MAX(0,$N18-$M18),0))</f>
        <v/>
      </c>
      <c r="P18" s="19">
        <f>IF($A18="","",INDEX(Register!$R$4:$R$23,MATCH($A18,Register!$A$4:$A$23,0)))</f>
        <v/>
      </c>
    </row>
    <row r="19">
      <c r="A19" s="19">
        <f>IF(Register!$A$19="","",Register!$A$19)</f>
        <v/>
      </c>
      <c r="B19" s="19">
        <f>IF($A19="","",INDEX(Register!$B$4:$B$23,MATCH($A19,Register!$A$4:$A$23,0)))</f>
        <v/>
      </c>
      <c r="C19" s="19">
        <f>IF($A19="","",SUMIFS('Meter Log'!$C$4:$C$131,'Meter Log'!$B$4:$B$131,$A19,'Meter Log'!$A$4:$A$131,Dashboard!$C$3))</f>
        <v/>
      </c>
      <c r="D19" s="20">
        <f>IF($A19="","",SUMIFS('Meter Log'!$D$4:$D$131,'Meter Log'!$B$4:$B$131,$A19,'Meter Log'!$A$4:$A$131,Dashboard!$C$3))</f>
        <v/>
      </c>
      <c r="E19" s="36">
        <f>IF($A19="","",IFERROR($D19/$C19,""))</f>
        <v/>
      </c>
      <c r="F19" s="36">
        <f>IF($A19="","",IFERROR(INDEX(Register!$F$4:$F$23,MATCH($A19,Register!$A$4:$A$23,0)),""))</f>
        <v/>
      </c>
      <c r="G19" s="21">
        <f>IF($A19="","",IFERROR(($E19-$F19)/$F19,""))</f>
        <v/>
      </c>
      <c r="H19" s="20">
        <f>IF($A19="",0,IFERROR(($E19-$F19)*$C19,0))</f>
        <v/>
      </c>
      <c r="I19" s="20">
        <f>IF($A19="","",SUMIFS('Meter Log'!$D$4:$D$131,'Meter Log'!$B$4:$B$131,$A19,'Meter Log'!$A$4:$A$131,EDATE(Dashboard!$C$3,-1)))</f>
        <v/>
      </c>
      <c r="J19" s="21">
        <f>IF($A19="","",IFERROR($D19/$I19-1,""))</f>
        <v/>
      </c>
      <c r="K19" s="20">
        <f>IF($A19="","",SUMIFS('Meter Log'!$D$4:$D$131,'Meter Log'!$B$4:$B$131,$A19,'Meter Log'!$A$4:$A$131,"&gt;="&amp;DATE(YEAR(Dashboard!$C$3),1,1),'Meter Log'!$A$4:$A$131,"&lt;="&amp;Dashboard!$C$3))</f>
        <v/>
      </c>
      <c r="L19" s="20">
        <f>IF($A19="","",$D19*12)</f>
        <v/>
      </c>
      <c r="M19" s="20">
        <f>IF($A19="","",IFERROR(INDEX(Register!$H$4:$H$23,MATCH($A19,Register!$A$4:$A$23,0)),0))</f>
        <v/>
      </c>
      <c r="N19" s="20">
        <f>IF($A19="","",$K19+$D19*(12-MONTH(Dashboard!$C$3)))</f>
        <v/>
      </c>
      <c r="O19" s="20">
        <f>IF($A19="",0,IF(AND(ISNUMBER($M19),$M19&gt;0),MAX(0,$N19-$M19),0))</f>
        <v/>
      </c>
      <c r="P19" s="19">
        <f>IF($A19="","",INDEX(Register!$R$4:$R$23,MATCH($A19,Register!$A$4:$A$23,0)))</f>
        <v/>
      </c>
    </row>
    <row r="20">
      <c r="A20" s="19">
        <f>IF(Register!$A$20="","",Register!$A$20)</f>
        <v/>
      </c>
      <c r="B20" s="19">
        <f>IF($A20="","",INDEX(Register!$B$4:$B$23,MATCH($A20,Register!$A$4:$A$23,0)))</f>
        <v/>
      </c>
      <c r="C20" s="19">
        <f>IF($A20="","",SUMIFS('Meter Log'!$C$4:$C$131,'Meter Log'!$B$4:$B$131,$A20,'Meter Log'!$A$4:$A$131,Dashboard!$C$3))</f>
        <v/>
      </c>
      <c r="D20" s="20">
        <f>IF($A20="","",SUMIFS('Meter Log'!$D$4:$D$131,'Meter Log'!$B$4:$B$131,$A20,'Meter Log'!$A$4:$A$131,Dashboard!$C$3))</f>
        <v/>
      </c>
      <c r="E20" s="36">
        <f>IF($A20="","",IFERROR($D20/$C20,""))</f>
        <v/>
      </c>
      <c r="F20" s="36">
        <f>IF($A20="","",IFERROR(INDEX(Register!$F$4:$F$23,MATCH($A20,Register!$A$4:$A$23,0)),""))</f>
        <v/>
      </c>
      <c r="G20" s="21">
        <f>IF($A20="","",IFERROR(($E20-$F20)/$F20,""))</f>
        <v/>
      </c>
      <c r="H20" s="20">
        <f>IF($A20="",0,IFERROR(($E20-$F20)*$C20,0))</f>
        <v/>
      </c>
      <c r="I20" s="20">
        <f>IF($A20="","",SUMIFS('Meter Log'!$D$4:$D$131,'Meter Log'!$B$4:$B$131,$A20,'Meter Log'!$A$4:$A$131,EDATE(Dashboard!$C$3,-1)))</f>
        <v/>
      </c>
      <c r="J20" s="21">
        <f>IF($A20="","",IFERROR($D20/$I20-1,""))</f>
        <v/>
      </c>
      <c r="K20" s="20">
        <f>IF($A20="","",SUMIFS('Meter Log'!$D$4:$D$131,'Meter Log'!$B$4:$B$131,$A20,'Meter Log'!$A$4:$A$131,"&gt;="&amp;DATE(YEAR(Dashboard!$C$3),1,1),'Meter Log'!$A$4:$A$131,"&lt;="&amp;Dashboard!$C$3))</f>
        <v/>
      </c>
      <c r="L20" s="20">
        <f>IF($A20="","",$D20*12)</f>
        <v/>
      </c>
      <c r="M20" s="20">
        <f>IF($A20="","",IFERROR(INDEX(Register!$H$4:$H$23,MATCH($A20,Register!$A$4:$A$23,0)),0))</f>
        <v/>
      </c>
      <c r="N20" s="20">
        <f>IF($A20="","",$K20+$D20*(12-MONTH(Dashboard!$C$3)))</f>
        <v/>
      </c>
      <c r="O20" s="20">
        <f>IF($A20="",0,IF(AND(ISNUMBER($M20),$M20&gt;0),MAX(0,$N20-$M20),0))</f>
        <v/>
      </c>
      <c r="P20" s="19">
        <f>IF($A20="","",INDEX(Register!$R$4:$R$23,MATCH($A20,Register!$A$4:$A$23,0)))</f>
        <v/>
      </c>
    </row>
    <row r="21">
      <c r="A21" s="19">
        <f>IF(Register!$A$21="","",Register!$A$21)</f>
        <v/>
      </c>
      <c r="B21" s="19">
        <f>IF($A21="","",INDEX(Register!$B$4:$B$23,MATCH($A21,Register!$A$4:$A$23,0)))</f>
        <v/>
      </c>
      <c r="C21" s="19">
        <f>IF($A21="","",SUMIFS('Meter Log'!$C$4:$C$131,'Meter Log'!$B$4:$B$131,$A21,'Meter Log'!$A$4:$A$131,Dashboard!$C$3))</f>
        <v/>
      </c>
      <c r="D21" s="20">
        <f>IF($A21="","",SUMIFS('Meter Log'!$D$4:$D$131,'Meter Log'!$B$4:$B$131,$A21,'Meter Log'!$A$4:$A$131,Dashboard!$C$3))</f>
        <v/>
      </c>
      <c r="E21" s="36">
        <f>IF($A21="","",IFERROR($D21/$C21,""))</f>
        <v/>
      </c>
      <c r="F21" s="36">
        <f>IF($A21="","",IFERROR(INDEX(Register!$F$4:$F$23,MATCH($A21,Register!$A$4:$A$23,0)),""))</f>
        <v/>
      </c>
      <c r="G21" s="21">
        <f>IF($A21="","",IFERROR(($E21-$F21)/$F21,""))</f>
        <v/>
      </c>
      <c r="H21" s="20">
        <f>IF($A21="",0,IFERROR(($E21-$F21)*$C21,0))</f>
        <v/>
      </c>
      <c r="I21" s="20">
        <f>IF($A21="","",SUMIFS('Meter Log'!$D$4:$D$131,'Meter Log'!$B$4:$B$131,$A21,'Meter Log'!$A$4:$A$131,EDATE(Dashboard!$C$3,-1)))</f>
        <v/>
      </c>
      <c r="J21" s="21">
        <f>IF($A21="","",IFERROR($D21/$I21-1,""))</f>
        <v/>
      </c>
      <c r="K21" s="20">
        <f>IF($A21="","",SUMIFS('Meter Log'!$D$4:$D$131,'Meter Log'!$B$4:$B$131,$A21,'Meter Log'!$A$4:$A$131,"&gt;="&amp;DATE(YEAR(Dashboard!$C$3),1,1),'Meter Log'!$A$4:$A$131,"&lt;="&amp;Dashboard!$C$3))</f>
        <v/>
      </c>
      <c r="L21" s="20">
        <f>IF($A21="","",$D21*12)</f>
        <v/>
      </c>
      <c r="M21" s="20">
        <f>IF($A21="","",IFERROR(INDEX(Register!$H$4:$H$23,MATCH($A21,Register!$A$4:$A$23,0)),0))</f>
        <v/>
      </c>
      <c r="N21" s="20">
        <f>IF($A21="","",$K21+$D21*(12-MONTH(Dashboard!$C$3)))</f>
        <v/>
      </c>
      <c r="O21" s="20">
        <f>IF($A21="",0,IF(AND(ISNUMBER($M21),$M21&gt;0),MAX(0,$N21-$M21),0))</f>
        <v/>
      </c>
      <c r="P21" s="19">
        <f>IF($A21="","",INDEX(Register!$R$4:$R$23,MATCH($A21,Register!$A$4:$A$23,0)))</f>
        <v/>
      </c>
    </row>
    <row r="22">
      <c r="A22" s="19">
        <f>IF(Register!$A$22="","",Register!$A$22)</f>
        <v/>
      </c>
      <c r="B22" s="19">
        <f>IF($A22="","",INDEX(Register!$B$4:$B$23,MATCH($A22,Register!$A$4:$A$23,0)))</f>
        <v/>
      </c>
      <c r="C22" s="19">
        <f>IF($A22="","",SUMIFS('Meter Log'!$C$4:$C$131,'Meter Log'!$B$4:$B$131,$A22,'Meter Log'!$A$4:$A$131,Dashboard!$C$3))</f>
        <v/>
      </c>
      <c r="D22" s="20">
        <f>IF($A22="","",SUMIFS('Meter Log'!$D$4:$D$131,'Meter Log'!$B$4:$B$131,$A22,'Meter Log'!$A$4:$A$131,Dashboard!$C$3))</f>
        <v/>
      </c>
      <c r="E22" s="36">
        <f>IF($A22="","",IFERROR($D22/$C22,""))</f>
        <v/>
      </c>
      <c r="F22" s="36">
        <f>IF($A22="","",IFERROR(INDEX(Register!$F$4:$F$23,MATCH($A22,Register!$A$4:$A$23,0)),""))</f>
        <v/>
      </c>
      <c r="G22" s="21">
        <f>IF($A22="","",IFERROR(($E22-$F22)/$F22,""))</f>
        <v/>
      </c>
      <c r="H22" s="20">
        <f>IF($A22="",0,IFERROR(($E22-$F22)*$C22,0))</f>
        <v/>
      </c>
      <c r="I22" s="20">
        <f>IF($A22="","",SUMIFS('Meter Log'!$D$4:$D$131,'Meter Log'!$B$4:$B$131,$A22,'Meter Log'!$A$4:$A$131,EDATE(Dashboard!$C$3,-1)))</f>
        <v/>
      </c>
      <c r="J22" s="21">
        <f>IF($A22="","",IFERROR($D22/$I22-1,""))</f>
        <v/>
      </c>
      <c r="K22" s="20">
        <f>IF($A22="","",SUMIFS('Meter Log'!$D$4:$D$131,'Meter Log'!$B$4:$B$131,$A22,'Meter Log'!$A$4:$A$131,"&gt;="&amp;DATE(YEAR(Dashboard!$C$3),1,1),'Meter Log'!$A$4:$A$131,"&lt;="&amp;Dashboard!$C$3))</f>
        <v/>
      </c>
      <c r="L22" s="20">
        <f>IF($A22="","",$D22*12)</f>
        <v/>
      </c>
      <c r="M22" s="20">
        <f>IF($A22="","",IFERROR(INDEX(Register!$H$4:$H$23,MATCH($A22,Register!$A$4:$A$23,0)),0))</f>
        <v/>
      </c>
      <c r="N22" s="20">
        <f>IF($A22="","",$K22+$D22*(12-MONTH(Dashboard!$C$3)))</f>
        <v/>
      </c>
      <c r="O22" s="20">
        <f>IF($A22="",0,IF(AND(ISNUMBER($M22),$M22&gt;0),MAX(0,$N22-$M22),0))</f>
        <v/>
      </c>
      <c r="P22" s="19">
        <f>IF($A22="","",INDEX(Register!$R$4:$R$23,MATCH($A22,Register!$A$4:$A$23,0)))</f>
        <v/>
      </c>
    </row>
    <row r="23">
      <c r="A23" s="19">
        <f>IF(Register!$A$23="","",Register!$A$23)</f>
        <v/>
      </c>
      <c r="B23" s="19">
        <f>IF($A23="","",INDEX(Register!$B$4:$B$23,MATCH($A23,Register!$A$4:$A$23,0)))</f>
        <v/>
      </c>
      <c r="C23" s="19">
        <f>IF($A23="","",SUMIFS('Meter Log'!$C$4:$C$131,'Meter Log'!$B$4:$B$131,$A23,'Meter Log'!$A$4:$A$131,Dashboard!$C$3))</f>
        <v/>
      </c>
      <c r="D23" s="20">
        <f>IF($A23="","",SUMIFS('Meter Log'!$D$4:$D$131,'Meter Log'!$B$4:$B$131,$A23,'Meter Log'!$A$4:$A$131,Dashboard!$C$3))</f>
        <v/>
      </c>
      <c r="E23" s="36">
        <f>IF($A23="","",IFERROR($D23/$C23,""))</f>
        <v/>
      </c>
      <c r="F23" s="36">
        <f>IF($A23="","",IFERROR(INDEX(Register!$F$4:$F$23,MATCH($A23,Register!$A$4:$A$23,0)),""))</f>
        <v/>
      </c>
      <c r="G23" s="21">
        <f>IF($A23="","",IFERROR(($E23-$F23)/$F23,""))</f>
        <v/>
      </c>
      <c r="H23" s="20">
        <f>IF($A23="",0,IFERROR(($E23-$F23)*$C23,0))</f>
        <v/>
      </c>
      <c r="I23" s="20">
        <f>IF($A23="","",SUMIFS('Meter Log'!$D$4:$D$131,'Meter Log'!$B$4:$B$131,$A23,'Meter Log'!$A$4:$A$131,EDATE(Dashboard!$C$3,-1)))</f>
        <v/>
      </c>
      <c r="J23" s="21">
        <f>IF($A23="","",IFERROR($D23/$I23-1,""))</f>
        <v/>
      </c>
      <c r="K23" s="20">
        <f>IF($A23="","",SUMIFS('Meter Log'!$D$4:$D$131,'Meter Log'!$B$4:$B$131,$A23,'Meter Log'!$A$4:$A$131,"&gt;="&amp;DATE(YEAR(Dashboard!$C$3),1,1),'Meter Log'!$A$4:$A$131,"&lt;="&amp;Dashboard!$C$3))</f>
        <v/>
      </c>
      <c r="L23" s="20">
        <f>IF($A23="","",$D23*12)</f>
        <v/>
      </c>
      <c r="M23" s="20">
        <f>IF($A23="","",IFERROR(INDEX(Register!$H$4:$H$23,MATCH($A23,Register!$A$4:$A$23,0)),0))</f>
        <v/>
      </c>
      <c r="N23" s="20">
        <f>IF($A23="","",$K23+$D23*(12-MONTH(Dashboard!$C$3)))</f>
        <v/>
      </c>
      <c r="O23" s="20">
        <f>IF($A23="",0,IF(AND(ISNUMBER($M23),$M23&gt;0),MAX(0,$N23-$M23),0))</f>
        <v/>
      </c>
      <c r="P23" s="19">
        <f>IF($A23="","",INDEX(Register!$R$4:$R$23,MATCH($A23,Register!$A$4:$A$23,0)))</f>
        <v/>
      </c>
    </row>
    <row r="24">
      <c r="B24" s="37" t="inlineStr">
        <is>
          <t>TOTAL</t>
        </is>
      </c>
      <c r="D24" s="38">
        <f>SUM(D4:D23)</f>
        <v/>
      </c>
      <c r="H24" s="38">
        <f>SUM(H4:H23)</f>
        <v/>
      </c>
      <c r="I24" s="38">
        <f>SUM(I4:I23)</f>
        <v/>
      </c>
      <c r="K24" s="38">
        <f>SUM(K4:K23)</f>
        <v/>
      </c>
      <c r="L24" s="38">
        <f>SUM(L4:L23)</f>
        <v/>
      </c>
      <c r="O24" s="38">
        <f>SUM(O4:O23)</f>
        <v/>
      </c>
    </row>
  </sheetData>
  <mergeCells count="1">
    <mergeCell ref="A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2026-08-28T15:39:12Z</dcterms:created>
  <dcterms:modified xmlns:dcterms="http://purl.org/dc/terms/" xmlns:xsi="http://www.w3.org/2001/XMLSchema-instance" xsi:type="dcterms:W3CDTF">2026-08-28T15:39:12Z</dcterms:modified>
</cp:coreProperties>
</file>